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oann\Downloads\"/>
    </mc:Choice>
  </mc:AlternateContent>
  <xr:revisionPtr revIDLastSave="0" documentId="8_{A1B97914-8A94-4641-AA24-3A8A6003D2C0}" xr6:coauthVersionLast="47" xr6:coauthVersionMax="47" xr10:uidLastSave="{00000000-0000-0000-0000-000000000000}"/>
  <bookViews>
    <workbookView xWindow="-120" yWindow="-120" windowWidth="29040" windowHeight="15720"/>
  </bookViews>
  <sheets>
    <sheet name="CSV_2022-02-22-084205" sheetId="1" r:id="rId1"/>
  </sheets>
  <calcPr calcId="0"/>
</workbook>
</file>

<file path=xl/calcChain.xml><?xml version="1.0" encoding="utf-8"?>
<calcChain xmlns="http://schemas.openxmlformats.org/spreadsheetml/2006/main">
  <c r="D85" i="1" l="1"/>
  <c r="N85" i="1"/>
  <c r="O85" i="1"/>
  <c r="D86" i="1"/>
  <c r="N86" i="1"/>
  <c r="O86" i="1"/>
  <c r="D2" i="1"/>
  <c r="N2" i="1"/>
  <c r="O2" i="1"/>
  <c r="D87" i="1"/>
  <c r="N87" i="1"/>
  <c r="O87" i="1"/>
  <c r="D88" i="1"/>
  <c r="N88" i="1"/>
  <c r="O88" i="1"/>
  <c r="D3" i="1"/>
  <c r="N3" i="1"/>
  <c r="O3" i="1"/>
  <c r="D89" i="1"/>
  <c r="N89" i="1"/>
  <c r="O89" i="1"/>
  <c r="D90" i="1"/>
  <c r="N90" i="1"/>
  <c r="O90" i="1"/>
  <c r="D91" i="1"/>
  <c r="N91" i="1"/>
  <c r="O91" i="1"/>
  <c r="D4" i="1"/>
  <c r="N4" i="1"/>
  <c r="O4" i="1"/>
  <c r="D92" i="1"/>
  <c r="N92" i="1"/>
  <c r="O92" i="1"/>
  <c r="D93" i="1"/>
  <c r="N93" i="1"/>
  <c r="O93" i="1"/>
  <c r="D5" i="1"/>
  <c r="N5" i="1"/>
  <c r="O5" i="1"/>
  <c r="D94" i="1"/>
  <c r="N94" i="1"/>
  <c r="O94" i="1"/>
  <c r="D6" i="1"/>
  <c r="N6" i="1"/>
  <c r="O6" i="1"/>
  <c r="D95" i="1"/>
  <c r="N95" i="1"/>
  <c r="O95" i="1"/>
  <c r="D96" i="1"/>
  <c r="N96" i="1"/>
  <c r="O96" i="1"/>
  <c r="D97" i="1"/>
  <c r="N97" i="1"/>
  <c r="O97" i="1"/>
  <c r="D98" i="1"/>
  <c r="N98" i="1"/>
  <c r="O98" i="1"/>
  <c r="D99" i="1"/>
  <c r="N99" i="1"/>
  <c r="O99" i="1"/>
  <c r="D100" i="1"/>
  <c r="N100" i="1"/>
  <c r="O100" i="1"/>
  <c r="D101" i="1"/>
  <c r="N101" i="1"/>
  <c r="O101" i="1"/>
  <c r="D102" i="1"/>
  <c r="N102" i="1"/>
  <c r="O102" i="1"/>
  <c r="D7" i="1"/>
  <c r="N7" i="1"/>
  <c r="O7" i="1"/>
  <c r="D8" i="1"/>
  <c r="N8" i="1"/>
  <c r="O8" i="1"/>
  <c r="D9" i="1"/>
  <c r="N9" i="1"/>
  <c r="O9" i="1"/>
  <c r="D10" i="1"/>
  <c r="N10" i="1"/>
  <c r="O10" i="1"/>
  <c r="D103" i="1"/>
  <c r="N103" i="1"/>
  <c r="O103" i="1"/>
  <c r="D104" i="1"/>
  <c r="N104" i="1"/>
  <c r="O104" i="1"/>
  <c r="D11" i="1"/>
  <c r="N11" i="1"/>
  <c r="O11" i="1"/>
  <c r="D12" i="1"/>
  <c r="N12" i="1"/>
  <c r="O12" i="1"/>
  <c r="D105" i="1"/>
  <c r="N105" i="1"/>
  <c r="O105" i="1"/>
  <c r="D13" i="1"/>
  <c r="N13" i="1"/>
  <c r="O13" i="1"/>
  <c r="D106" i="1"/>
  <c r="N106" i="1"/>
  <c r="O106" i="1"/>
  <c r="D107" i="1"/>
  <c r="N107" i="1"/>
  <c r="O107" i="1"/>
  <c r="D108" i="1"/>
  <c r="N108" i="1"/>
  <c r="O108" i="1"/>
  <c r="D109" i="1"/>
  <c r="N109" i="1"/>
  <c r="O109" i="1"/>
  <c r="D14" i="1"/>
  <c r="N14" i="1"/>
  <c r="O14" i="1"/>
  <c r="D110" i="1"/>
  <c r="N110" i="1"/>
  <c r="O110" i="1"/>
  <c r="D111" i="1"/>
  <c r="N111" i="1"/>
  <c r="O111" i="1"/>
  <c r="D15" i="1"/>
  <c r="N15" i="1"/>
  <c r="O15" i="1"/>
  <c r="D112" i="1"/>
  <c r="N112" i="1"/>
  <c r="O112" i="1"/>
  <c r="D113" i="1"/>
  <c r="N113" i="1"/>
  <c r="O113" i="1"/>
  <c r="D114" i="1"/>
  <c r="N114" i="1"/>
  <c r="O114" i="1"/>
  <c r="D115" i="1"/>
  <c r="N115" i="1"/>
  <c r="O115" i="1"/>
  <c r="D116" i="1"/>
  <c r="N116" i="1"/>
  <c r="O116" i="1"/>
  <c r="D117" i="1"/>
  <c r="N117" i="1"/>
  <c r="O117" i="1"/>
  <c r="D118" i="1"/>
  <c r="N118" i="1"/>
  <c r="O118" i="1"/>
  <c r="D119" i="1"/>
  <c r="N119" i="1"/>
  <c r="O119" i="1"/>
  <c r="D120" i="1"/>
  <c r="N120" i="1"/>
  <c r="O120" i="1"/>
  <c r="D121" i="1"/>
  <c r="N121" i="1"/>
  <c r="O121" i="1"/>
  <c r="D122" i="1"/>
  <c r="N122" i="1"/>
  <c r="O122" i="1"/>
  <c r="D123" i="1"/>
  <c r="N123" i="1"/>
  <c r="O123" i="1"/>
  <c r="D124" i="1"/>
  <c r="N124" i="1"/>
  <c r="O124" i="1"/>
  <c r="D125" i="1"/>
  <c r="N125" i="1"/>
  <c r="O125" i="1"/>
  <c r="D126" i="1"/>
  <c r="N126" i="1"/>
  <c r="O126" i="1"/>
  <c r="D127" i="1"/>
  <c r="N127" i="1"/>
  <c r="O127" i="1"/>
  <c r="D16" i="1"/>
  <c r="N16" i="1"/>
  <c r="O16" i="1"/>
  <c r="D128" i="1"/>
  <c r="N128" i="1"/>
  <c r="O128" i="1"/>
  <c r="D17" i="1"/>
  <c r="N17" i="1"/>
  <c r="O17" i="1"/>
  <c r="D129" i="1"/>
  <c r="N129" i="1"/>
  <c r="O129" i="1"/>
  <c r="D130" i="1"/>
  <c r="N130" i="1"/>
  <c r="O130" i="1"/>
  <c r="D18" i="1"/>
  <c r="N18" i="1"/>
  <c r="O18" i="1"/>
  <c r="D131" i="1"/>
  <c r="N131" i="1"/>
  <c r="O131" i="1"/>
  <c r="D19" i="1"/>
  <c r="N19" i="1"/>
  <c r="O19" i="1"/>
  <c r="D132" i="1"/>
  <c r="N132" i="1"/>
  <c r="O132" i="1"/>
  <c r="D133" i="1"/>
  <c r="N133" i="1"/>
  <c r="O133" i="1"/>
  <c r="D134" i="1"/>
  <c r="N134" i="1"/>
  <c r="O134" i="1"/>
  <c r="D135" i="1"/>
  <c r="N135" i="1"/>
  <c r="O135" i="1"/>
  <c r="D136" i="1"/>
  <c r="N136" i="1"/>
  <c r="O136" i="1"/>
  <c r="D20" i="1"/>
  <c r="N20" i="1"/>
  <c r="O20" i="1"/>
  <c r="D21" i="1"/>
  <c r="N21" i="1"/>
  <c r="O21" i="1"/>
  <c r="D22" i="1"/>
  <c r="N22" i="1"/>
  <c r="O22" i="1"/>
  <c r="D23" i="1"/>
  <c r="N23" i="1"/>
  <c r="O23" i="1"/>
  <c r="D137" i="1"/>
  <c r="N137" i="1"/>
  <c r="O137" i="1"/>
  <c r="D24" i="1"/>
  <c r="N24" i="1"/>
  <c r="O24" i="1"/>
  <c r="D138" i="1"/>
  <c r="N138" i="1"/>
  <c r="O138" i="1"/>
  <c r="D139" i="1"/>
  <c r="N139" i="1"/>
  <c r="O139" i="1"/>
  <c r="D140" i="1"/>
  <c r="N140" i="1"/>
  <c r="O140" i="1"/>
  <c r="D141" i="1"/>
  <c r="N141" i="1"/>
  <c r="O141" i="1"/>
  <c r="D142" i="1"/>
  <c r="N142" i="1"/>
  <c r="O142" i="1"/>
  <c r="D143" i="1"/>
  <c r="N143" i="1"/>
  <c r="O143" i="1"/>
  <c r="D144" i="1"/>
  <c r="N144" i="1"/>
  <c r="O144" i="1"/>
  <c r="D25" i="1"/>
  <c r="N25" i="1"/>
  <c r="O25" i="1"/>
  <c r="D26" i="1"/>
  <c r="N26" i="1"/>
  <c r="O26" i="1"/>
  <c r="D145" i="1"/>
  <c r="N145" i="1"/>
  <c r="O145" i="1"/>
  <c r="D27" i="1"/>
  <c r="N27" i="1"/>
  <c r="O27" i="1"/>
  <c r="D146" i="1"/>
  <c r="N146" i="1"/>
  <c r="O146" i="1"/>
  <c r="D147" i="1"/>
  <c r="N147" i="1"/>
  <c r="O147" i="1"/>
  <c r="D148" i="1"/>
  <c r="N148" i="1"/>
  <c r="O148" i="1"/>
  <c r="D149" i="1"/>
  <c r="N149" i="1"/>
  <c r="O149" i="1"/>
  <c r="D150" i="1"/>
  <c r="N150" i="1"/>
  <c r="O150" i="1"/>
  <c r="D151" i="1"/>
  <c r="N151" i="1"/>
  <c r="O151" i="1"/>
  <c r="D28" i="1"/>
  <c r="N28" i="1"/>
  <c r="O28" i="1"/>
  <c r="D152" i="1"/>
  <c r="N152" i="1"/>
  <c r="O152" i="1"/>
  <c r="D153" i="1"/>
  <c r="N153" i="1"/>
  <c r="O153" i="1"/>
  <c r="D154" i="1"/>
  <c r="N154" i="1"/>
  <c r="O154" i="1"/>
  <c r="D155" i="1"/>
  <c r="N155" i="1"/>
  <c r="O155" i="1"/>
  <c r="D156" i="1"/>
  <c r="N156" i="1"/>
  <c r="O156" i="1"/>
  <c r="D157" i="1"/>
  <c r="N157" i="1"/>
  <c r="O157" i="1"/>
  <c r="D158" i="1"/>
  <c r="N158" i="1"/>
  <c r="O158" i="1"/>
  <c r="D159" i="1"/>
  <c r="N159" i="1"/>
  <c r="O159" i="1"/>
  <c r="D160" i="1"/>
  <c r="N160" i="1"/>
  <c r="O160" i="1"/>
  <c r="D161" i="1"/>
  <c r="N161" i="1"/>
  <c r="O161" i="1"/>
  <c r="D162" i="1"/>
  <c r="N162" i="1"/>
  <c r="O162" i="1"/>
  <c r="D163" i="1"/>
  <c r="N163" i="1"/>
  <c r="O163" i="1"/>
  <c r="D164" i="1"/>
  <c r="N164" i="1"/>
  <c r="O164" i="1"/>
  <c r="D165" i="1"/>
  <c r="N165" i="1"/>
  <c r="O165" i="1"/>
  <c r="D29" i="1"/>
  <c r="N29" i="1"/>
  <c r="O29" i="1"/>
  <c r="D166" i="1"/>
  <c r="N166" i="1"/>
  <c r="O166" i="1"/>
  <c r="D167" i="1"/>
  <c r="N167" i="1"/>
  <c r="O167" i="1"/>
  <c r="D30" i="1"/>
  <c r="N30" i="1"/>
  <c r="O30" i="1"/>
  <c r="D168" i="1"/>
  <c r="N168" i="1"/>
  <c r="O168" i="1"/>
  <c r="D169" i="1"/>
  <c r="N169" i="1"/>
  <c r="O169" i="1"/>
  <c r="D31" i="1"/>
  <c r="N31" i="1"/>
  <c r="O31" i="1"/>
  <c r="D32" i="1"/>
  <c r="N32" i="1"/>
  <c r="O32" i="1"/>
  <c r="D33" i="1"/>
  <c r="N33" i="1"/>
  <c r="O33" i="1"/>
  <c r="D34" i="1"/>
  <c r="N34" i="1"/>
  <c r="O34" i="1"/>
  <c r="D35" i="1"/>
  <c r="N35" i="1"/>
  <c r="O35" i="1"/>
  <c r="D36" i="1"/>
  <c r="N36" i="1"/>
  <c r="O36" i="1"/>
  <c r="D37" i="1"/>
  <c r="N37" i="1"/>
  <c r="O37" i="1"/>
  <c r="D38" i="1"/>
  <c r="N38" i="1"/>
  <c r="O38" i="1"/>
  <c r="D39" i="1"/>
  <c r="N39" i="1"/>
  <c r="O39" i="1"/>
  <c r="D40" i="1"/>
  <c r="N40" i="1"/>
  <c r="O40" i="1"/>
  <c r="D170" i="1"/>
  <c r="N170" i="1"/>
  <c r="O170" i="1"/>
  <c r="D41" i="1"/>
  <c r="N41" i="1"/>
  <c r="O41" i="1"/>
  <c r="D171" i="1"/>
  <c r="N171" i="1"/>
  <c r="O171" i="1"/>
  <c r="D42" i="1"/>
  <c r="N42" i="1"/>
  <c r="O42" i="1"/>
  <c r="D43" i="1"/>
  <c r="N43" i="1"/>
  <c r="O43" i="1"/>
  <c r="D44" i="1"/>
  <c r="N44" i="1"/>
  <c r="O44" i="1"/>
  <c r="D172" i="1"/>
  <c r="N172" i="1"/>
  <c r="O172" i="1"/>
  <c r="D45" i="1"/>
  <c r="N45" i="1"/>
  <c r="O45" i="1"/>
  <c r="D46" i="1"/>
  <c r="N46" i="1"/>
  <c r="O46" i="1"/>
  <c r="D47" i="1"/>
  <c r="N47" i="1"/>
  <c r="O47" i="1"/>
  <c r="D48" i="1"/>
  <c r="N48" i="1"/>
  <c r="O48" i="1"/>
  <c r="D49" i="1"/>
  <c r="N49" i="1"/>
  <c r="O49" i="1"/>
  <c r="D50" i="1"/>
  <c r="N50" i="1"/>
  <c r="O50" i="1"/>
  <c r="D51" i="1"/>
  <c r="N51" i="1"/>
  <c r="O51" i="1"/>
  <c r="D52" i="1"/>
  <c r="N52" i="1"/>
  <c r="O52" i="1"/>
  <c r="D53" i="1"/>
  <c r="N53" i="1"/>
  <c r="O53" i="1"/>
  <c r="D54" i="1"/>
  <c r="N54" i="1"/>
  <c r="O54" i="1"/>
  <c r="D55" i="1"/>
  <c r="N55" i="1"/>
  <c r="O55" i="1"/>
  <c r="D56" i="1"/>
  <c r="N56" i="1"/>
  <c r="O56" i="1"/>
  <c r="D57" i="1"/>
  <c r="N57" i="1"/>
  <c r="O57" i="1"/>
  <c r="D58" i="1"/>
  <c r="N58" i="1"/>
  <c r="O58" i="1"/>
  <c r="D59" i="1"/>
  <c r="N59" i="1"/>
  <c r="O59" i="1"/>
  <c r="D60" i="1"/>
  <c r="N60" i="1"/>
  <c r="O60" i="1"/>
  <c r="D61" i="1"/>
  <c r="N61" i="1"/>
  <c r="O61" i="1"/>
  <c r="D62" i="1"/>
  <c r="N62" i="1"/>
  <c r="O62" i="1"/>
  <c r="D63" i="1"/>
  <c r="N63" i="1"/>
  <c r="O63" i="1"/>
  <c r="D64" i="1"/>
  <c r="N64" i="1"/>
  <c r="O64" i="1"/>
  <c r="D173" i="1"/>
  <c r="N173" i="1"/>
  <c r="O173" i="1"/>
  <c r="D174" i="1"/>
  <c r="N174" i="1"/>
  <c r="O174" i="1"/>
  <c r="D175" i="1"/>
  <c r="N175" i="1"/>
  <c r="O175" i="1"/>
  <c r="D176" i="1"/>
  <c r="N176" i="1"/>
  <c r="O176" i="1"/>
  <c r="D177" i="1"/>
  <c r="N177" i="1"/>
  <c r="O177" i="1"/>
  <c r="D178" i="1"/>
  <c r="N178" i="1"/>
  <c r="O178" i="1"/>
  <c r="D65" i="1"/>
  <c r="N65" i="1"/>
  <c r="O65" i="1"/>
  <c r="D66" i="1"/>
  <c r="N66" i="1"/>
  <c r="O66" i="1"/>
  <c r="D67" i="1"/>
  <c r="N67" i="1"/>
  <c r="O67" i="1"/>
  <c r="D179" i="1"/>
  <c r="N179" i="1"/>
  <c r="O179" i="1"/>
  <c r="D68" i="1"/>
  <c r="N68" i="1"/>
  <c r="O68" i="1"/>
  <c r="D69" i="1"/>
  <c r="N69" i="1"/>
  <c r="O69" i="1"/>
  <c r="D180" i="1"/>
  <c r="N180" i="1"/>
  <c r="O180" i="1"/>
  <c r="D70" i="1"/>
  <c r="N70" i="1"/>
  <c r="O70" i="1"/>
  <c r="D71" i="1"/>
  <c r="N71" i="1"/>
  <c r="O71" i="1"/>
  <c r="D181" i="1"/>
  <c r="N181" i="1"/>
  <c r="O181" i="1"/>
  <c r="D72" i="1"/>
  <c r="N72" i="1"/>
  <c r="O72" i="1"/>
  <c r="D73" i="1"/>
  <c r="N73" i="1"/>
  <c r="O73" i="1"/>
  <c r="D74" i="1"/>
  <c r="N74" i="1"/>
  <c r="O74" i="1"/>
  <c r="D75" i="1"/>
  <c r="N75" i="1"/>
  <c r="O75" i="1"/>
  <c r="D76" i="1"/>
  <c r="N76" i="1"/>
  <c r="O76" i="1"/>
  <c r="D77" i="1"/>
  <c r="N77" i="1"/>
  <c r="O77" i="1"/>
  <c r="D182" i="1"/>
  <c r="N182" i="1"/>
  <c r="O182" i="1"/>
  <c r="D78" i="1"/>
  <c r="N78" i="1"/>
  <c r="O78" i="1"/>
  <c r="D183" i="1"/>
  <c r="N183" i="1"/>
  <c r="O183" i="1"/>
  <c r="D79" i="1"/>
  <c r="N79" i="1"/>
  <c r="O79" i="1"/>
  <c r="D80" i="1"/>
  <c r="N80" i="1"/>
  <c r="O80" i="1"/>
  <c r="D81" i="1"/>
  <c r="N81" i="1"/>
  <c r="O81" i="1"/>
  <c r="D184" i="1"/>
  <c r="N184" i="1"/>
  <c r="O184" i="1"/>
  <c r="D185" i="1"/>
  <c r="N185" i="1"/>
  <c r="O185" i="1"/>
  <c r="D186" i="1"/>
  <c r="N186" i="1"/>
  <c r="O186" i="1"/>
  <c r="D187" i="1"/>
  <c r="N187" i="1"/>
  <c r="O187" i="1"/>
  <c r="D188" i="1"/>
  <c r="N188" i="1"/>
  <c r="O188" i="1"/>
  <c r="D82" i="1"/>
  <c r="N82" i="1"/>
  <c r="O82" i="1"/>
  <c r="D83" i="1"/>
  <c r="N83" i="1"/>
  <c r="O83" i="1"/>
  <c r="D84" i="1"/>
  <c r="N84" i="1"/>
  <c r="O84" i="1"/>
</calcChain>
</file>

<file path=xl/sharedStrings.xml><?xml version="1.0" encoding="utf-8"?>
<sst xmlns="http://schemas.openxmlformats.org/spreadsheetml/2006/main" count="1877" uniqueCount="838">
  <si>
    <t>Κατηγορία Μοριοδότησης</t>
  </si>
  <si>
    <t>Δήμος</t>
  </si>
  <si>
    <t>Είδος</t>
  </si>
  <si>
    <t>Κωδ. ΥΠΠΘ</t>
  </si>
  <si>
    <t>Ονομασία</t>
  </si>
  <si>
    <t>Λειτουργικότητα</t>
  </si>
  <si>
    <t>Οργανικότητα</t>
  </si>
  <si>
    <t>Τηλέφωνο</t>
  </si>
  <si>
    <t>ΦΑΞ</t>
  </si>
  <si>
    <t>e-mail</t>
  </si>
  <si>
    <t>Περιοχή</t>
  </si>
  <si>
    <t>Ταχ. Διεύθυνση</t>
  </si>
  <si>
    <t>ΤΚ</t>
  </si>
  <si>
    <t>Γεωγραφικό Πλάτος</t>
  </si>
  <si>
    <t>Γεωγραφικό Μήκος</t>
  </si>
  <si>
    <t>Ιδρυμένο Τ.Ε.</t>
  </si>
  <si>
    <t>Αριθμός Τ.Ε. που λειτουργούν</t>
  </si>
  <si>
    <t>Α.Μ. Διευθυντή</t>
  </si>
  <si>
    <t>Α.Φ.Μ. Διευθυντή</t>
  </si>
  <si>
    <t>Ονομ/μο Διευθυντή</t>
  </si>
  <si>
    <t>Ονομ/μο Συντονιστή Εκπαιδευτικού Έργου</t>
  </si>
  <si>
    <t>Ζ</t>
  </si>
  <si>
    <t>ΣΕΡΡΩΝ</t>
  </si>
  <si>
    <t>ΣΙΝΤΙΚΗΣ</t>
  </si>
  <si>
    <t>Νηπιαγωγεία</t>
  </si>
  <si>
    <t>ΝΗΠΙΑΓΩΓΕΙΟ ΑΓΚΙΣΤΡΟΥ</t>
  </si>
  <si>
    <t>mail@nip-agkistr.ser.sch.gr</t>
  </si>
  <si>
    <t>ΑΓΚΙΣΤΡΟ</t>
  </si>
  <si>
    <t>ΟΧΙ</t>
  </si>
  <si>
    <t>NAI</t>
  </si>
  <si>
    <t>ΖΑΧΑΡΟΥΛΑ ΤΖΑΒΕΛΛΑ</t>
  </si>
  <si>
    <t>ΚΩΝΣΤΑΝΤΙΝΑ ΤΣΙΓΑΡΙΔΑ</t>
  </si>
  <si>
    <t xml:space="preserve"> </t>
  </si>
  <si>
    <t>Γ</t>
  </si>
  <si>
    <t>Α</t>
  </si>
  <si>
    <t>29ο ΝΗΠΙΑΓΩΓΕΙΟ ΣΕΡΡΩΝ</t>
  </si>
  <si>
    <t>mail@29nip-serron.ser.sch.gr</t>
  </si>
  <si>
    <t>ΕΥΖΩΝΩΝ 7</t>
  </si>
  <si>
    <t>ΑΡΙΑΔΗ ΕΥΑΓΓΕΛΟΠΟΥΛΟΥ</t>
  </si>
  <si>
    <t>ΚΑΤΕΡΙΝΑ ΛΑΛΙΩΤΗ</t>
  </si>
  <si>
    <t>Δημοτικά Σχολεία</t>
  </si>
  <si>
    <t>24ο ΔΗΜΟΤΙΚΟ ΣΧΟΛΕΙΟ ΣΕΡΡΩΝ</t>
  </si>
  <si>
    <t>mail@24dim-serron.ser.sch.gr</t>
  </si>
  <si>
    <t>Σέρρες</t>
  </si>
  <si>
    <t>ΕΛ. ΒΕΝΙΖΕΛΟΥ 92</t>
  </si>
  <si>
    <t>ΚΩΝΣΤΑΝΤΙΝΟΣ ΦΩΣΤΗΡΟΠΟΥΛΟΣ</t>
  </si>
  <si>
    <t>ΧΡΗΣΤΟΣ ΝΑΤΣΚΟΣ</t>
  </si>
  <si>
    <t>12ο ΝΗΠΙΑΓΩΓΕΙΟ ΣΕΡΡΩΝ</t>
  </si>
  <si>
    <t>mail@12nip-serron.ser.sch.gr</t>
  </si>
  <si>
    <t>ΒΕΝΙΖΕΛΟΥ 137</t>
  </si>
  <si>
    <t>ΕΛΕΝΗ ΦΑΣΟΥΛΑ</t>
  </si>
  <si>
    <t>30ο ΝΗΠΙΑΓΩΓΕΙΟ ΣΕΡΡΩΝ</t>
  </si>
  <si>
    <t>mail@30nip-serron.ser.sch.gr</t>
  </si>
  <si>
    <t>ΠΙΠΙΝΟΥ 23</t>
  </si>
  <si>
    <t>ΕΛΕΝΗ ΧΑΡΑΛΑΜΠΟΓΛΟΥ</t>
  </si>
  <si>
    <t>8ο ΔΗΜΟΤΙΚΟ ΣΧΟΛΕΙΟ ΣΕΡΡΩΝ</t>
  </si>
  <si>
    <t>mail@8dim-serron.ser.sch.gr</t>
  </si>
  <si>
    <t>ΣΕΡΡΕΣ</t>
  </si>
  <si>
    <t>ΚΕΡΑΣΟΥΝΤΟΣ 2</t>
  </si>
  <si>
    <t>ΔΗΜΗΤΡΙΟΣ ΧΑΤΖΗΑΓΟΡΑΚΗΣ</t>
  </si>
  <si>
    <t>ΧΡΗΣΤΟΣ ΠΡΑΜΑΣ</t>
  </si>
  <si>
    <t>32ο ΝΗΠΙΑΓΩΓΕΙΟ ΣΕΡΡΩΝ</t>
  </si>
  <si>
    <t>mail@32nip-serron.ser.sch.gr</t>
  </si>
  <si>
    <t>ΒΕΝΙΖΕΛΟΥ 92</t>
  </si>
  <si>
    <t>ΖΩΗ ΜΑΛΑΜΑ</t>
  </si>
  <si>
    <t>Β</t>
  </si>
  <si>
    <t>ΛΕΥΚΩΝΑ</t>
  </si>
  <si>
    <t>ΚΑΛΩΝ ΔΕΝΔΡΩΝ</t>
  </si>
  <si>
    <t>ΝΗΠΙΑΓΩΓΕΙΟ ΚΑΛΩΝ ΔΕΝΔΡΩΝ</t>
  </si>
  <si>
    <t>mail@nip-kal-dendr.ser.sch.gr</t>
  </si>
  <si>
    <t>ΚΑΛΑ ΔΕΝΔΡΑ ΣΕΡΡΩΝ</t>
  </si>
  <si>
    <t>ΕΥΘΥΜΙΑ ΣΙΣΚΟΥ</t>
  </si>
  <si>
    <t>ΝΗΠΙΑΓΩΓΕΙΟ ΛΕΥΚΩΝΑ</t>
  </si>
  <si>
    <t>mail@nip-lefkon.ser.sch.gr</t>
  </si>
  <si>
    <t>ΗΛ. ΛΑΥΡΕΝΤΙΔΗ 6</t>
  </si>
  <si>
    <t>ΠΑΝΑΓΙΩΤΑ ΠΑΠΠΑ</t>
  </si>
  <si>
    <t>10ο ΔΗΜΟΤΙΚΟ ΣΧΟΛΕΙΟ ΣΕΡΡΩΝ</t>
  </si>
  <si>
    <t>mail@10dim-serron.ser.sch.gr</t>
  </si>
  <si>
    <t>ΕΛΕΥΘΕΡΙΟΥ ΒΕΝΙΖΕΛΟΥ 92</t>
  </si>
  <si>
    <t>ΑΘΑΝΑΣΙΟΣ ΓΚΙΟΥΖΕΛΗΣ</t>
  </si>
  <si>
    <t>ΕΜΜΑΝΟΥΗΛ ΠΑΠΠΑ</t>
  </si>
  <si>
    <t>ΝΕΟΥ ΣΚΟΠΟΥ</t>
  </si>
  <si>
    <t>ΝΗΠΙΑΓΩΓΕΙΟ ΝΕΟΥ ΣΚΟΠΟΥ</t>
  </si>
  <si>
    <t>mail@nip-n-skopou.ser.sch.gr</t>
  </si>
  <si>
    <t>ΚΥΡ. ΑΣΤΡΕΙΝΙΔΗ 41</t>
  </si>
  <si>
    <t>ΣΟΦΙΑ ΓΟΥΛΙΑΔΟΥ</t>
  </si>
  <si>
    <t>ΝΕΟΧΩΡΙΟΥ</t>
  </si>
  <si>
    <t>ΝΗΠΙΑΓΩΓΕΙΟ ΝΕΟΧΩΡΙΟΥ ΣΕΡΡΩΝ</t>
  </si>
  <si>
    <t>mail@nip-neochor.ser.sch.gr</t>
  </si>
  <si>
    <t>ΝΕΟΧΩΡΙ ΣΕΡΡΩΝ</t>
  </si>
  <si>
    <t>ΓΕΩΡΓΙΑ ΜΑΡΑ</t>
  </si>
  <si>
    <t>20ο ΔΗΜΟΤΙΚΟ ΣΧΟΛΕΙΟ ΣΕΡΡΩΝ</t>
  </si>
  <si>
    <t>mail@20dim-serron.ser.sch.gr</t>
  </si>
  <si>
    <t>Αναστασίου Χρυσάφη 36</t>
  </si>
  <si>
    <t>ΑΒΡΑΑΜ ΚΑΡΑΟΓΛΑΝΙΔΗΣ</t>
  </si>
  <si>
    <t>ΘΕΜΙΣΤΟΚΛΗΣ ΤΣΙΚΑΛΑΣ</t>
  </si>
  <si>
    <t>7ο ΝΗΠΙΑΓΩΓΕΙΟ ΣΕΡΡΩΝ</t>
  </si>
  <si>
    <t>mail@7nip-serron.ser.sch.gr</t>
  </si>
  <si>
    <t>ΑΙΝΟΥ 16</t>
  </si>
  <si>
    <t>ΔΕΣΠΟΙΝΑ ΧΗΔΗΡΙΔΟΥ</t>
  </si>
  <si>
    <t>7ο ΔΗΜΟΤΙΚΟ ΣΧΟΛΕΙΟ ΣΕΡΡΩΝ</t>
  </si>
  <si>
    <t>mail@7dim-serron.ser.sch.gr</t>
  </si>
  <si>
    <t>ΑΘ. ΜΠΕΚΙΑΡΗ 7</t>
  </si>
  <si>
    <t>ΕΛΕΝΗ ΠΑΠΑΔΙΟΥ</t>
  </si>
  <si>
    <t>2ο ΝΗΠΙΑΓΩΓΕΙΟ ΣΕΡΡΩΝ</t>
  </si>
  <si>
    <t>mail@2nip-serron.ser.sch.gr</t>
  </si>
  <si>
    <t>ΜΠΙΖΑΝΙΟΥ 1</t>
  </si>
  <si>
    <t>ΙΩΑΝΝΑ ΗΛΙΑΔΟΥ</t>
  </si>
  <si>
    <t>4ο ΝΗΠΙΑΓΩΓΕΙΟ ΣΕΡΡΩΝ</t>
  </si>
  <si>
    <t>mail@4nip-serron.ser.sch.gr</t>
  </si>
  <si>
    <t>ΝΙΓΡΗΤΗΣ 128</t>
  </si>
  <si>
    <t>ΜΑΡΙΑ ΜΑΝΙΩΤΑ</t>
  </si>
  <si>
    <t>8ο ΝΗΠΙΑΓΩΓΕΙΟ ΣΕΡΡΩΝ</t>
  </si>
  <si>
    <t>mail@8nip-serron.ser.sch.gr</t>
  </si>
  <si>
    <t>ΝΕΕΣ ΕΡΓΑΤΙΚΕΣ ΚΑΤΟΙΚΙΕΣ</t>
  </si>
  <si>
    <t>ΠΑΡΑΣΚΕΥΗ ΠΛΙΑΤΣΙΚΑ</t>
  </si>
  <si>
    <t>5ο ΝΗΠΙΑΓΩΓΕΙΟ ΣΕΡΡΩΝ</t>
  </si>
  <si>
    <t>mail@5nip-serron.ser.sch.gr</t>
  </si>
  <si>
    <t>ΚΑΝΑΒΟΥ 2</t>
  </si>
  <si>
    <t>ΕΥΑΓΓΕΛΙΑ ΠΑΠΑΚΩΝΣΤΑΝΤΙΝΟΥ</t>
  </si>
  <si>
    <t>9ο  ΝΗΠΙΑΓΩΓΕΙΟ ΣΕΡΡΩΝ</t>
  </si>
  <si>
    <t>mail@9nip-serron.ser.sch.gr</t>
  </si>
  <si>
    <t>ΕΥΑΓΓΕΛΟΣ ΧΑΤΖΗΑΝΔΡΕΟΥ</t>
  </si>
  <si>
    <t>13ο ΝΗΠΙΑΓΩΓΕΙΟ ΣΕΡΡΩΝ</t>
  </si>
  <si>
    <t>mail@13nip-serron.ser.sch.gr</t>
  </si>
  <si>
    <t>ΜΙΑΟΥΛΗ 17</t>
  </si>
  <si>
    <t>ΒΑΣΙΛΙΚΗ ΜΠΟΡΤΑ</t>
  </si>
  <si>
    <t>17ο  ΝΗΠΙΑΓΩΓΕΙΟ ΣΕΡΡΩΝ</t>
  </si>
  <si>
    <t>mail@17nip-serron.ser.sch.gr</t>
  </si>
  <si>
    <t>ΚΙΣΣΑΒΟΥ 12</t>
  </si>
  <si>
    <t>ΝΙΚΗ ΑΝΤΩΝΙΟΥ</t>
  </si>
  <si>
    <t>18ο ΝΗΠΙΑΓΩΓΕΙΟ ΣΕΡΡΩΝ</t>
  </si>
  <si>
    <t>mail@18nip-serron.ser.sch.gr</t>
  </si>
  <si>
    <t>ΑΡΚΑΔΙΟΥΠΟΛΕΩΣ 15</t>
  </si>
  <si>
    <t>ΜΑΡΙΑΝΘΗ ΧΑΤΖΗΛΑΡΗ</t>
  </si>
  <si>
    <t>6ο ΔΗΜΟΤΙΚΟ ΣΧΟΛΕΙΟ ΣΕΡΡΩΝ</t>
  </si>
  <si>
    <t>mail@6dim-serron.ser.sch.gr</t>
  </si>
  <si>
    <t>ΑΘΑΝΑΣΙΟΥ ΜΑΥΡΙΔΗ 2</t>
  </si>
  <si>
    <t>ΝΙΚΟΛΑΟΣ ΠΑΠΑΘΑΝΑΣΙΟΥ</t>
  </si>
  <si>
    <t>ΨΥΧΙΚΟΥ</t>
  </si>
  <si>
    <t>ΔΗΜΟΤΙΚΟ ΣΧΟΛΕΙΟ ΨΥΧΙΚΟΥ</t>
  </si>
  <si>
    <t>mail@dim-psych.ser.sch.gr</t>
  </si>
  <si>
    <t>ΨΥΧΙΚΟ ΣΕΡΡΩΝ</t>
  </si>
  <si>
    <t>ΚΩΝΣΤΑΝΤΙΝΟΣ ΜΠΟΥΚΙΚΑΣ</t>
  </si>
  <si>
    <t>2ο ΔΗΜΟΤΙΚΟ ΣΧΟΛΕΙΟ ΣΕΡΡΩΝ</t>
  </si>
  <si>
    <t>mail@2dim-serron.ser.sch.gr</t>
  </si>
  <si>
    <t>ΝΙΓΡΙΤΑΣ 128</t>
  </si>
  <si>
    <t>ΣΑΒΒΑΣ ΜΠΕΡΜΠΕΡΙΔΗΣ</t>
  </si>
  <si>
    <t>ΔΗΜΟΤΙΚΟ ΣΧΟΛΕΙΟ ΛΕΥΚΩΝΑ</t>
  </si>
  <si>
    <t>mail@dim-lefkon.ser.sch.gr</t>
  </si>
  <si>
    <t>ΛΕΥΚΩΝΑΣ</t>
  </si>
  <si>
    <t>ΟΜΗΡΩΝ 3</t>
  </si>
  <si>
    <t>ΑΘΑΝΑΣΙΑ ΚΟΥΜΛΗ</t>
  </si>
  <si>
    <t>3ο ΝΗΠΙΑΓΩΓΕΙΟ ΣΕΡΡΩΝ</t>
  </si>
  <si>
    <t>mail@3nip-serron.ser.sch.gr</t>
  </si>
  <si>
    <t>ΙΚΟΝΙΟΥ 20</t>
  </si>
  <si>
    <t>ΛΑΜΠΡΙΝΗ ΓΚΑΖΑΚΗ</t>
  </si>
  <si>
    <t>20ο  ΝΗΠΙΑΓΩΓΕΙΟ ΣΕΡΡΩΝ</t>
  </si>
  <si>
    <t>mail@20nip-serron.ser.sch.gr</t>
  </si>
  <si>
    <t>ΑΘΑΝΑΣΙΟΥ ΜΠΕΚΙΑΡΗ 7</t>
  </si>
  <si>
    <t>ΜΑΡΙΑ ΑΝΑΣΤΑΣΙΑΔΟΥ</t>
  </si>
  <si>
    <t>14ο ΔΗΜΟΤΙΚΟ ΣΧΟΛΕΙΟ ΣΕΡΡΩΝ</t>
  </si>
  <si>
    <t>mail@14dim-serron.ser.sch.gr</t>
  </si>
  <si>
    <t>Άγιος Ιωάννης Σερρών</t>
  </si>
  <si>
    <t>ΜΙΝΩΟΣ</t>
  </si>
  <si>
    <t>ΓΕΩΡΓΙΟΣ ΜΑΡΑΠΑΣ</t>
  </si>
  <si>
    <t>ΔΗΜΟΤΙΚΟ ΣΧΟΛΕΙΟ ΚΑΛΩΝ ΔΕΝΔΡΩΝ</t>
  </si>
  <si>
    <t>mail@dim-kal-dendr.ser.sch.gr</t>
  </si>
  <si>
    <t>ΚΑΛΑ ΔΕΝΔΡΑ</t>
  </si>
  <si>
    <t>ΒΑΣΙΛΙΚΗ ΜΑΝΑΒΟΥΔΗ</t>
  </si>
  <si>
    <t>21ο ΝΗΠΙΑΓΩΓΕΙΟ ΣΕΡΡΩΝ</t>
  </si>
  <si>
    <t>mail@21nip-serron.ser.sch.gr</t>
  </si>
  <si>
    <t>ΕΥΑΓΓΕΛΙΑ ΔΕΔΟΥΣΗ</t>
  </si>
  <si>
    <t>ΔΗΜΟΤΙΚΟ ΣΧΟΛΕΙΟ ΠΕΝΤΑΠΟΛΕΩΣ</t>
  </si>
  <si>
    <t>mail@dim-pentap.ser.sch.gr</t>
  </si>
  <si>
    <t>ΠΕΝΤΑΠΟΛΗ</t>
  </si>
  <si>
    <t>ΔΗΜΟΣ ΕΜΜ. ΠΑΠΠΑ ΣΕΡΡΩΝ</t>
  </si>
  <si>
    <t>ΘΩΜΑΣ ΜΑΣΟΥΡΑΣ</t>
  </si>
  <si>
    <t>22ο ΝΗΠΙΑΓΩΓΕΙΟ ΣΕΡΡΩΝ</t>
  </si>
  <si>
    <t>mail@22nip-serron.ser.sch.gr</t>
  </si>
  <si>
    <t>ΧΡΥΣΑΝΘΗ ΠΑΣΧΑΛΙΔΟΥ</t>
  </si>
  <si>
    <t>27ο ΝΗΠΙΑΓΩΓΕΙΟ ΣΕΡΡΩΝ</t>
  </si>
  <si>
    <t>mail@27nip-serron.ser.sch.gr</t>
  </si>
  <si>
    <t>ΕΛΕΝΗ ΒΥΖΙΩΤΟΥ</t>
  </si>
  <si>
    <t>28ο ΝΗΠΙΑΓΩΓΕΙΟ ΣΕΡΡΩΝ</t>
  </si>
  <si>
    <t>mail@28nip-serron.ser.sch.gr</t>
  </si>
  <si>
    <t>ΣΤΥΛΙΑΝΗ ΤΡΑΝΤΟΠΟΥΛΟΥ</t>
  </si>
  <si>
    <t>ΣΤ</t>
  </si>
  <si>
    <t>ΑΜΦΙΠΟΛΗΣ</t>
  </si>
  <si>
    <t>ΠΑΛΑΙΟΚΩΜΗΣ</t>
  </si>
  <si>
    <t>ΝΗΠΙΑΓΩΓΕΙΟ ΠΑΛΑΙΟΚΩΜΗΣ</t>
  </si>
  <si>
    <t>mail@nip-palaiokom.ser.sch.gr</t>
  </si>
  <si>
    <t>ΠΑΛΑΙΟΚΩΜΗ ΣΕΡΡΩΝ</t>
  </si>
  <si>
    <t>ΠΑΝΑΓΙΩΤΑ ΓΑΡΟΥΦΑ</t>
  </si>
  <si>
    <t>ΔΗΜΟΤΙΚΟ ΣΧΟΛΕΙΟ ΑΓΚΙΣΤΡΟΥ</t>
  </si>
  <si>
    <t>mail@dim-agkistr.ser.sch.gr</t>
  </si>
  <si>
    <t>ΑΓΚΙΣΤΡΟ ΣΕΡΡΩΝ</t>
  </si>
  <si>
    <t>ΔΗΜΗΤΡΙΟΣ ΔΕΛΗΝΑΣΙΟΣ</t>
  </si>
  <si>
    <t>ΣΙΔΗΡΟΚΑΣΤΡΟΥ</t>
  </si>
  <si>
    <t>Δ</t>
  </si>
  <si>
    <t>ΒΙΣΑΛΤΙΑΣ</t>
  </si>
  <si>
    <t>ΝΗΠΙΑΓΩΓΕΙΟ ΣΙΤΟΧΩΡΙΟΥ</t>
  </si>
  <si>
    <t>mail@nip-sitoch.ser.sch.gr</t>
  </si>
  <si>
    <t>ΣΙΤΟΧΩΡΙ</t>
  </si>
  <si>
    <t>ΣΙΤΟΧΩΡΙ ΣΕΡΡΩΝ</t>
  </si>
  <si>
    <t>ΕΥΑΓΓΕΛΙΑ ΘΗΛΥΚΟΥ</t>
  </si>
  <si>
    <t>ΝΗΠΙΑΓΩΓΕΙΟ ΔΗΜΗΤΡΙΤΣΙΟΥ</t>
  </si>
  <si>
    <t>mail@nip-dimitr.ser.sch.gr</t>
  </si>
  <si>
    <t>ΔΗΜΗΤΡΙΤΣΙΟΥ</t>
  </si>
  <si>
    <t>ΔΗΜΗΤΡΙΤΣΙ ΣΕΡΡΩΝ</t>
  </si>
  <si>
    <t>ΧΑΡΙΣ ΜΑΥΡΕΛΟΥ</t>
  </si>
  <si>
    <t>ΝΙΓΡΙΤΑΣ</t>
  </si>
  <si>
    <t>1ο ΔΗΜΟΤΙΚΟ ΣΧΟΛΕΙΟ ΣΕΡΡΩΝ</t>
  </si>
  <si>
    <t>mail@1dim-serron.ser.sch.gr</t>
  </si>
  <si>
    <t>ΜΠΕΚΙΑΡΗ 7</t>
  </si>
  <si>
    <t>ΔΗΜΗΤΡΑ ΑΝΑΣΤΑΣΙΑΔΟΥ</t>
  </si>
  <si>
    <t>1ο Νηπιαγωγείο Ν.Σουλίου</t>
  </si>
  <si>
    <t>mail@nip-n-souliou.ser.sch.gr</t>
  </si>
  <si>
    <t>Ν. ΣΟΥΛΙΟΥ</t>
  </si>
  <si>
    <t>ΝΕΟ ΣΟΥΛΙ ΣΕΡΡΩΝ</t>
  </si>
  <si>
    <t>ΕΥΑΓΓΕΛΙΑ ΑΓΓΟΥΡΑ</t>
  </si>
  <si>
    <t>ΝΗΠΙΑΓΩΓΕΙΟ ΑΓΙΟΥ ΠΝΕΥΜΑΤΟΣ</t>
  </si>
  <si>
    <t>mail@nip-ag-pnevm.ser.sch.gr</t>
  </si>
  <si>
    <t>ΑΓΙΟ ΠΝΕΥΜΑ ΣΕΡΡΩΝ</t>
  </si>
  <si>
    <t>ΒΑΣΙΛΙΚΗ ΤΣΟΥΚΑΛΟΥ</t>
  </si>
  <si>
    <t>ΝΗΠΙΑΓΩΓΕΙΟ ΠΕΝΤΑΠΟΛΗΣ</t>
  </si>
  <si>
    <t>mail@nip-pentap.ser.sch.gr</t>
  </si>
  <si>
    <t>ΠΕΝΤΑΠΟΛΗΣ</t>
  </si>
  <si>
    <t>ΠΕΝΤΑΠΟΛΗ ΣΕΡΡΩΝ</t>
  </si>
  <si>
    <t>ΓΕΩΡΓΙΑ ΕΛΕΥΘΕΡΙΑΔΟΥ</t>
  </si>
  <si>
    <t>Ε</t>
  </si>
  <si>
    <t>ΝΕΑΣ ΖΙΧΝΗΣ</t>
  </si>
  <si>
    <t>ΔΡΑΒΗΣΚΟΥ</t>
  </si>
  <si>
    <t>ΝΗΠΙΑΓΩΓΕΙΟ ΔΡΑΒΗΣΚΟΥ</t>
  </si>
  <si>
    <t>mail@nip-dravisk.ser.sch.gr</t>
  </si>
  <si>
    <t>ΔΡΑΒΗΣΚΟΣ ΣΕΡΡΩΝ</t>
  </si>
  <si>
    <t>ΔΕΣΠΟΙΝΑ ΒΕΡΔΙΝΟΓΛΟΥ</t>
  </si>
  <si>
    <t>Ν. ΖΙΧΝΗΣ</t>
  </si>
  <si>
    <t>ΑΛΙΣΤΡΑΤΗΣ</t>
  </si>
  <si>
    <t>ΝΗΠΙΑΓΩΓΕΙΟ ΑΛΙΣΤΡΑΤΗΣ</t>
  </si>
  <si>
    <t>mail@nip-alistr.ser.sch.gr</t>
  </si>
  <si>
    <t>ΑΛΙΣΤΡΑΤΗ ΣΕΡΡΩΝ</t>
  </si>
  <si>
    <t>ΕΙΡΗΝΗ ΜΑΡΝΑ</t>
  </si>
  <si>
    <t>ΤΡΙΑΝΤΑΦΥΛΛΙΑΣ</t>
  </si>
  <si>
    <t>ΝΗΠΙΑΓΩΓΕΙΟ ΤΡΙΑΝΤΑΦΥΛΛΙΑΣ</t>
  </si>
  <si>
    <t>mail@nip-triant.ser.sch.gr</t>
  </si>
  <si>
    <t>ΤΡΙΑΝΤΑΦΥΛΛΙΑ ΣΕΡΡΩΝ</t>
  </si>
  <si>
    <t>ΓΑΛΑΤΕΙΑ ΙΩΣΗΦΙΔΟΥ</t>
  </si>
  <si>
    <t>ΝΗΠΙΑΓΩΓΕΙΟ ΜΑΥΡΟΘΑΛΑΣΣΑΣ ΣΕΡΡΩΝ</t>
  </si>
  <si>
    <t>mail@nip-mavroth.ser.sch.gr</t>
  </si>
  <si>
    <t>ΜΑΥΡΟΘΑΛΑΣΣΑ ΣΕΡΡΩΝ</t>
  </si>
  <si>
    <t>ΕΥΑΝΘΙΑ ΚΟΝΙΑΡΗ</t>
  </si>
  <si>
    <t>ΚΕΡΚΙΝΗΣ</t>
  </si>
  <si>
    <t>ΑΝΩ ΠΟΡΟΙΩΝ</t>
  </si>
  <si>
    <t>ΝΗΠΙΑΓΩΓΕΙΟ ΑΝΩ ΠΟΡΟΙΩΝ</t>
  </si>
  <si>
    <t>mail@nip-an-poroion.ser.sch.gr</t>
  </si>
  <si>
    <t>ΑΝΩ ΠΟΡΟΙΑ ΣΕΡΡΩΝ</t>
  </si>
  <si>
    <t>ΙΩΑΝΝΑ ΓΚΙΝΗ</t>
  </si>
  <si>
    <t>ΑΝΩ ΠΟΡΟΪΑ</t>
  </si>
  <si>
    <t>Η</t>
  </si>
  <si>
    <t>ΑΧΛΑΔΟΧΩΡΙΟΥ</t>
  </si>
  <si>
    <t>ΝΗΠΙΑΓΩΓΕΙΟ ΑΧΛΑΔΟΧΩΡΙΟΥ</t>
  </si>
  <si>
    <t>mail@nip-achlad.ser.sch.gr</t>
  </si>
  <si>
    <t>ΑΧΛΑΔΟΧΩΡΙ ΣΕΡΡΩΝ</t>
  </si>
  <si>
    <t>ΧΡΥΣΟΥΛΑ ΧΑΤΖΗΚΟΤΙΑΝΟΥΔΗ</t>
  </si>
  <si>
    <t>ΣΟΥΛΕΙΟ ΝΗΠΙΑΓΩΓΕΙΟ Ν. ΖΙΧΝΗΣ</t>
  </si>
  <si>
    <t>mail@nip-n-zichn.ser.sch.gr</t>
  </si>
  <si>
    <t>ΝΕΑΣ ΖΙΧΝΗ ΣΕΡΡΩΝ</t>
  </si>
  <si>
    <t>ΕΛΕΝΗ ΧΡΥΣΑΦΙΝΗ</t>
  </si>
  <si>
    <t>ΣΚΟΥΤΑΡΕΩΣ</t>
  </si>
  <si>
    <t>ΚΑΤΩ ΚΑΜΗΛΑΣ</t>
  </si>
  <si>
    <t>ΝΗΠΙΑΓΩΓΕΙΟ ΚΑΤΩ ΚΑΜΗΛΑΣ</t>
  </si>
  <si>
    <t>mail@nip-kat-kamil.ser.sch.gr</t>
  </si>
  <si>
    <t>ΚΑΤΩ ΚΑΜΗΛΑ ΣΕΡΡΩΝ</t>
  </si>
  <si>
    <t>ΕΙΡΗΝΗ ΡΙΖΟΥ</t>
  </si>
  <si>
    <t>ΒΥΡΩΝΕΙΑΣ</t>
  </si>
  <si>
    <t>ΝΗΠΙΑΓΩΓΕΙΟ ΒΥΡΩΝΕΙΑΣ</t>
  </si>
  <si>
    <t>mail@nip-vyron.ser.sch.gr</t>
  </si>
  <si>
    <t>ΒΥΡΩΝΕΙΑ ΣΕΡΡΩΝ</t>
  </si>
  <si>
    <t>ΒΑΣΙΛΙΚΗ ΒΟΥΚΑΝΤΣΗ</t>
  </si>
  <si>
    <t>ΧΡΥΣΟΥ</t>
  </si>
  <si>
    <t>ΝΗΠΙΑΓΩΓΕΙΟ ΧΡΥΣΟΥ</t>
  </si>
  <si>
    <t>mail@nip-chrys.ser.sch.gr</t>
  </si>
  <si>
    <t>ΤΟΠΙΚΗ  ΚΟΙΝΟΤΗΤΑ ΧΡΥΣΟΥ</t>
  </si>
  <si>
    <t>ΚΑΛΛΙΟΠΗ ΧΡΙΣΤΟΦΟΡΙΔΟΥ</t>
  </si>
  <si>
    <t>ΤΟΥΜΠΑΣ</t>
  </si>
  <si>
    <t>ΝΗΠΙΑΓΩΓΕΙΟ ΤΟΥΜΠΑΣ</t>
  </si>
  <si>
    <t>mail@nip-toump.ser.sch.gr</t>
  </si>
  <si>
    <t>ΤΟΥΜΠΑ ΣΕΡΡΩΝ</t>
  </si>
  <si>
    <t>ΕΛΕΝΗ ΠΑΠΑΣΤΑΥΡΟΠΟΥΛΟΥ</t>
  </si>
  <si>
    <t>ΒΑΜΒΑΚΟΦΥΤΟΥ</t>
  </si>
  <si>
    <t>ΝΗΠΙΑΓΩΓΕΙΟ ΒΑΜΒΑΚΟΦΥΤΟΥ</t>
  </si>
  <si>
    <t>mail@nip-vamvak.ser.sch.gr</t>
  </si>
  <si>
    <t>ΒΑΜΒΑΚΟΦΥΤΟ ΣΕΡΡΩΝ</t>
  </si>
  <si>
    <t>ΔΕΣΠΟΙΝΑ ΧΑΤΖΟΥΔΗ</t>
  </si>
  <si>
    <t>2ο ΝΗΠΙΑΓΩΓΕΙΟ ΝΙΓΡΙΤΑΣ</t>
  </si>
  <si>
    <t>mail@2nip-nigrit.ser.sch.gr</t>
  </si>
  <si>
    <t>ΝΙΓΡΙΤΑ</t>
  </si>
  <si>
    <t>ΦΥΛΛΙΔΟΣ 14</t>
  </si>
  <si>
    <t>ΕΛΕΝΗ ΤΣΕΛΕΠΗ</t>
  </si>
  <si>
    <t>ΧΑΡΟΠΟΥ</t>
  </si>
  <si>
    <t>ΔΗΜΟΤΙΚΟ ΣΧΟΛΕΙΟ ΧΑΡΟΠΟΥ</t>
  </si>
  <si>
    <t>mail@dim-charop.ser.sch.gr</t>
  </si>
  <si>
    <t>Χαροπό</t>
  </si>
  <si>
    <t>ΧΑΡΟΠΟ ΣΕΡΡΩΝ</t>
  </si>
  <si>
    <t>ΚΩΝΣΤΑΝΤΙΝΟΣ ΝΕΜΤΣΑΣ</t>
  </si>
  <si>
    <t>ΤΕΡΠΝΗΣ</t>
  </si>
  <si>
    <t>ΝΗΠΙΑΓΩΓΕΙΟ ΤΕΡΠΝΗΣ</t>
  </si>
  <si>
    <t>mail@nip-terpn.ser.sch.gr</t>
  </si>
  <si>
    <t>ΤΕΡΠΝΗ ΣΕΡΡΩΝ</t>
  </si>
  <si>
    <t>ΕΛΕΝΗ ΝΤΙΝΟΥΔΗ</t>
  </si>
  <si>
    <t>ΔΗΜΟΤΙΚΟ ΣΧΟΛΕΙΟ ΝΕΑΣ ΖΙΧΝΗΣ</t>
  </si>
  <si>
    <t>mail@dim-n-zichn.ser.sch.gr</t>
  </si>
  <si>
    <t>ΝΕΑ ΖΙΧΝΗ</t>
  </si>
  <si>
    <t>ΕΓΝΑΤΙΑΣ &amp; ΠΑΓΓΑΙΟΥ</t>
  </si>
  <si>
    <t>ΒΑΙΑ ΣΑΚΚΟΥ</t>
  </si>
  <si>
    <t>ΓΑΖΩΡΟΥ</t>
  </si>
  <si>
    <t>ΝΗΠΙΑΓΩΓΕΙΟ ΓΑΖΩΡΟΥ</t>
  </si>
  <si>
    <t>mail@nip-gazor.ser.sch.gr</t>
  </si>
  <si>
    <t>ΓΑΖΩΡΟΣ ΣΕΡΡΩΝ</t>
  </si>
  <si>
    <t>ΚΑΛΛΙΟΠΗ ΖΙΧΝΑΛΗ</t>
  </si>
  <si>
    <t>10ο ΝΗΠΙΑΓΩΓΕΙΟ ΣΕΡΡΩΝ</t>
  </si>
  <si>
    <t>mail@10nip-serron.ser.sch.gr</t>
  </si>
  <si>
    <t>ΠΑΓΩΝΑ ΓΚΟΥΤΡΟΥΜΑΝΙΔΟΥ</t>
  </si>
  <si>
    <t>4ο ΔΗΜΟΤΙΚΟ ΣΧΟΛΕΙΟ ΣΕΡΡΩΝ</t>
  </si>
  <si>
    <t>mail@4dim-serron.ser.sch.gr</t>
  </si>
  <si>
    <t>ΔΥΤ. ΘΡΑΚΗΣ 6</t>
  </si>
  <si>
    <t>ΜΕΛΑΧΡΟΙΝΗ ΑΡΑΜΠΑΤΖΗ</t>
  </si>
  <si>
    <t>16ο ΝΗΠΙΑΓΩΓΕΙΟ ΣΕΡΡΩΝ</t>
  </si>
  <si>
    <t>mail@16nip-serron.ser.sch.gr</t>
  </si>
  <si>
    <t>ΑΓΙΟΙ ΑΝΑΡΓΥΡΟΙ</t>
  </si>
  <si>
    <t>ΔΗΜΗΤΡΟΥΛΑ ΤΡΙΑΝΤΑΦΥΛΛΟΥ</t>
  </si>
  <si>
    <t>18ο ΔΗΜΟΤΙΚΟ ΣΧΟΛΕΙΟ ΣΕΡΡΩΝ</t>
  </si>
  <si>
    <t>mail@18dim-serron.ser.sch.gr</t>
  </si>
  <si>
    <t>ΧΑΡΙΛΑΟΥ ΤΡΙΚΟΥΠΗ 34</t>
  </si>
  <si>
    <t>ΔΗΜΗΤΡΙΟΣ ΣΙΑΜΑΓΚΑΣ</t>
  </si>
  <si>
    <t>19ο  ΝΗΠΙΑΓΩΓΕΙΟ ΣΕΡΡΩΝ</t>
  </si>
  <si>
    <t>mail@19nip-serron.ser.sch.gr</t>
  </si>
  <si>
    <t>ΕΡΓΑΤΙΚΕΣ ΚΑΤΟΙΚΙΕΣ ΚΗΦΙΣΙΑΣ</t>
  </si>
  <si>
    <t>ΕΛΕΝΗ ΠΑΠΟΥΤΣΟΓΛΟΥ</t>
  </si>
  <si>
    <t>6ο ΝΗΠΙΑΓΩΓΕΙΟ ΣΕΡΡΩΝ</t>
  </si>
  <si>
    <t>mail@6nip-serron.ser.sch.gr</t>
  </si>
  <si>
    <t>ΠΕΡΙΟΧΗ ΑΓΙΩΝ ΑΝΑΡΓΥΡΩΝ</t>
  </si>
  <si>
    <t>ΘΕΟΔΩΡΑ ΚΟΥΤΙΔΟΥ</t>
  </si>
  <si>
    <t>26ο ΝΗΠΙΑΓΩΓΕΙΟ ΣΕΡΡΩΝ</t>
  </si>
  <si>
    <t>mail@26nip-serron.ser.sch.gr</t>
  </si>
  <si>
    <t>ΑΘΑΝΑΣΙΟΥ ΑΡΓΥΡΟΥ 45</t>
  </si>
  <si>
    <t>ΚΥΡΑΝΗ ΚΑΡΑΣΤΟΓΙΑΝΝΗ</t>
  </si>
  <si>
    <t>15ο ΝΗΠΙΑΓΩΓΕΙΟ ΣΕΡΡΩΝ</t>
  </si>
  <si>
    <t>mail@15nip-serron.ser.sch.gr</t>
  </si>
  <si>
    <t>ΔΕΣΠΟΙΝΑ ΧΑΤΖΗΓΕΩΡΓΙΟΥ</t>
  </si>
  <si>
    <t>ΝΗΠΙΑΓΩΓΕΙΟ ΡΟΔΟΛΙΒΟΥΣ</t>
  </si>
  <si>
    <t>mail@nip-rodol.ser.sch.gr</t>
  </si>
  <si>
    <t>ΡΟΔΟΛΙΒΟΣ</t>
  </si>
  <si>
    <t>ΡΟΔΟΛΙΒΟΣ ΣΕΡΡΩΝ</t>
  </si>
  <si>
    <t>ΚΑΛΛΙΟΠΗ ΧΑΤΖΗΔΑΦΝΗ</t>
  </si>
  <si>
    <t>ΔΗΜΟΤΙΚΟ ΣΧΟΛΕΙΟ ΚΕΡΚΙΝΗΣ</t>
  </si>
  <si>
    <t>mail@dim-kerkin.ser.sch.gr</t>
  </si>
  <si>
    <t>ΚΕΡΚΙΝΗ</t>
  </si>
  <si>
    <t>ΚΕΡΚΙΝΗ ΣΕΡΡΩΝ</t>
  </si>
  <si>
    <t>ΠΑΝΑΓΙΩΤΗΣ ΚΑΖΑΚΑΣ</t>
  </si>
  <si>
    <t>ΔΗΜΟΤΙΚΟ ΣΧΟΛΕΙΟ ΡΟΔΟΛΙΒΟΥΣ "ΟΡΦΕΑΣ"</t>
  </si>
  <si>
    <t>mail@dim-rodol.ser.sch.gr</t>
  </si>
  <si>
    <t>Κ. ΚΙΟΡΠΕ  2</t>
  </si>
  <si>
    <t>ΜΠΑΧΑΡΗΣ ΜΠΑΧΑΡΟΠΟΥΛΟΣ</t>
  </si>
  <si>
    <t>ΕΙΔΙΚΟ ΔΗΜΟΤΙΚΟ ΣΧΟΛΕΙΟ ΣΕΡΡΩΝ</t>
  </si>
  <si>
    <t>mail@dim-eid-serron.ser.sch.gr</t>
  </si>
  <si>
    <t>3ο ΧΙΛ.ΣΕΡΡΩΝ -ΔΡΑΜΑΣ</t>
  </si>
  <si>
    <t>ΙΩΑΝΝΗΣ ΔΑΡΝΑΚΑΣ</t>
  </si>
  <si>
    <t>ΧΡΗΣΤΟΣ ΣΧΟΛΙΔΗΣ</t>
  </si>
  <si>
    <t>ΧΛΜ ΣΕΡΡΩΝ ΔΡΑΜΑΣ 3</t>
  </si>
  <si>
    <t>ΔΗΜΟΤΙΚΟ ΣΧΟΛΕΙΟ Ν. ΜΠΑΦΡΑΣ</t>
  </si>
  <si>
    <t>mail@dim-n-bafras.ser.sch.gr</t>
  </si>
  <si>
    <t>Ν. ΜΠΑΦΡΑ</t>
  </si>
  <si>
    <t>Ν. ΜΠΑΦΡΑ ΣΕΡΡΩΝ</t>
  </si>
  <si>
    <t>ΕΛΕΝΗ ΜΠΙΡΙΝΤΖΗ</t>
  </si>
  <si>
    <t>ΝΗΠΙΑΓΩΓΕΙΟ Ν. ΚΕΡΔΥΛΙΩΝ</t>
  </si>
  <si>
    <t>mail@nip-n-kerdyl.ser.sch.gr</t>
  </si>
  <si>
    <t>Ν. ΚΕΡΔΥΛΙΩΝ</t>
  </si>
  <si>
    <t>ΝΕΑ ΚΕΡΔΥΛΙΑ ΣΕΡΡΩΝ</t>
  </si>
  <si>
    <t>ΔΕΣΠΟΙΝΑ ΒΑΛΣΑΜΟΥΛΗ</t>
  </si>
  <si>
    <t>ΔΗΜΟΤΙΚΟ ΣΧΟΛΕΙΟ ΠΑΛΑΙΟΚΩΜΗΣ</t>
  </si>
  <si>
    <t>mail@dim-palaiokom.ser.sch.gr</t>
  </si>
  <si>
    <t>ΠΑΛΑΙΟΚΩΜΗ</t>
  </si>
  <si>
    <t>ΓΕΩΡΓΙΟΣ ΡΕΚΛΟΣ</t>
  </si>
  <si>
    <t>ΝΗΠΙΑΓΩΓΕΙΟ ΚΕΡΚΙΝΗΣ</t>
  </si>
  <si>
    <t>mail@nip-kerkin.ser.sch.gr</t>
  </si>
  <si>
    <t>ΔΗΜΗΤΡΑ ΚΩΣΤΙΚΙΑΔΟΥ</t>
  </si>
  <si>
    <t>ΗΡΑΚΛΕΙΑΣ</t>
  </si>
  <si>
    <t>ΒΑΛΤΕΡΟΥ</t>
  </si>
  <si>
    <t>ΝΗΠΙΑΓΩΓΕΙΟ ΒΑΛΤΕΡΟΥ</t>
  </si>
  <si>
    <t>mail@nip-valter.ser.sch.gr</t>
  </si>
  <si>
    <t>ΒΑΛΤΕΡΟ ΣΕΡΡΩΝ</t>
  </si>
  <si>
    <t>ΜΑΡΙΑ ΜΠΟΥΡΤΖΗ</t>
  </si>
  <si>
    <t>ΝΗΠΙΑΓΩΓΕΙΟ Ν. ΜΠΑΦΡΑΣ</t>
  </si>
  <si>
    <t>mail@nip-n-bafras.ser.sch.gr</t>
  </si>
  <si>
    <t>Ν. ΜΠΑΦΡΑΣ</t>
  </si>
  <si>
    <t>ΟΥΡΑΝΙΑ ΟΡΦΑΝΙΔΟΥ</t>
  </si>
  <si>
    <t>ΝΗΠΙΑΓΩΓΕΙΟ ΠΛΑΤΑΝΑΚΙΑ ΣΕΡΡΩΝ</t>
  </si>
  <si>
    <t>mail@nip-platan.ser.sch.gr</t>
  </si>
  <si>
    <t>ΠΛΑΤΑΝΑΚΙΑ ΣΕΡΡΩΝ</t>
  </si>
  <si>
    <t>ΣΤΥΛΙΑΝΗ ΔΗΜΟΥ</t>
  </si>
  <si>
    <t>ΝΗΠΙΑΓΩΓΕΙΟ ΡΟΔΟΠΟΛΗΣ</t>
  </si>
  <si>
    <t>mail@nip-rodop.ser.sch.gr</t>
  </si>
  <si>
    <t>ΡΟΔΟΠΟΛΗΣ</t>
  </si>
  <si>
    <t>ΡΟΔΟΠΟΛΗ ΣΕΡΡΩΝ</t>
  </si>
  <si>
    <t>ΚΕΡΑΤΣΑ ΣΙΔΕΡΑ</t>
  </si>
  <si>
    <t>1ο  ΝΗΠΙΑΓΩΓΕΙΟ ΣΙΔΗΡΟΚΑΣΤΡΟΥ</t>
  </si>
  <si>
    <t>mail@1nip-sidir.ser.sch.gr</t>
  </si>
  <si>
    <t>ΣΙΔΗΡΟΚΑΣΤΡΟ</t>
  </si>
  <si>
    <t>ΑΓΑΘΗ ΜΙΝΤΖΙΡΙΚΗ</t>
  </si>
  <si>
    <t>ΣΚΟΤΟΥΣΣΗΣ</t>
  </si>
  <si>
    <t>ΓΕΦΥΡΟΥΔΙΟΥ</t>
  </si>
  <si>
    <t>ΝΗΠΙΑΓΩΓΕΙΟ ΓΕΦΥΡΟΥΔΙΟΥ</t>
  </si>
  <si>
    <t>mail@nip-gefyr.ser.sch.gr</t>
  </si>
  <si>
    <t>ΓΕΦΥΡΟΥΔΙ ΣΕΡΡΩΝ</t>
  </si>
  <si>
    <t>ΜΑΡΙΑ ΣΟΦΙΑΝΙΔΟΥ</t>
  </si>
  <si>
    <t>ΔΗΜΟΤΙΚΟ ΣΧΟΛΕΙΟ ΝΕΩΝ ΚΕΡΔΥΛΛΙΩΝ</t>
  </si>
  <si>
    <t>mail@dim-n-kerdyl.ser.sch.gr</t>
  </si>
  <si>
    <t>ΝΕΑ ΚΕΡΔΥΛΛΙΑ</t>
  </si>
  <si>
    <t>ΧΑΡΙΚΛΕΙΑ ΕΛΕΥΘΕΡΙΟΥ</t>
  </si>
  <si>
    <t>ΔΗΜΟΤΙΚΟ ΣΧΟΛΕΙΟ ΜΑΥΡΟΘΑΛΑΣΣΑΣ</t>
  </si>
  <si>
    <t>mail@dim-mavroth.ser.sch.gr</t>
  </si>
  <si>
    <t>ΜΑΥΡΟΘΑΛΑΣΣΑ</t>
  </si>
  <si>
    <t>ΜΑΡΙΑ ΛΟΓΟΘΕΤΗ</t>
  </si>
  <si>
    <t>ΝΗΠΙΑΓΩΓΕΊΟ ΣΤΡΥΜΟΝΙΚΟΥ</t>
  </si>
  <si>
    <t>mail@nip-strym.ser.sch.gr</t>
  </si>
  <si>
    <t>ΣΤΡΥΜΟΝΙΚΟ</t>
  </si>
  <si>
    <t>ΣΤΡΥΜΟΝΙΚΟ ΣΕΡΡΩΝ</t>
  </si>
  <si>
    <t>ΑΡΙΣΤΕΙΔΗΣ ΧΑΛΙΑΜΠΑΚΗΣ</t>
  </si>
  <si>
    <t>12ο ΔΗΜΟΤΙΚΟ ΣΧΟΛΕΙΟ ΣΕΡΡΩΝ</t>
  </si>
  <si>
    <t>mail@12dim-serron.ser.sch.gr</t>
  </si>
  <si>
    <t>ΚΑΝΝΑΒΟΥ 2</t>
  </si>
  <si>
    <t>ΣΤΕΦΑΝΟΣ ΞΙΦΤΟΣ</t>
  </si>
  <si>
    <t>ΝΗΠΙΑΓΩΓΕΙΟ ΚΟΙΜΗΣΗΣ</t>
  </si>
  <si>
    <t>mail@nip-koimis.ser.sch.gr</t>
  </si>
  <si>
    <t>ΚΟΙΜΗΣΗΣ</t>
  </si>
  <si>
    <t>ΚΟΙΜΗΣΗ ΣΕΡΡΩΝ</t>
  </si>
  <si>
    <t>ΑΣΗΜΕΝΙΑ ΙΩΑΝΝΙΔΟΥ</t>
  </si>
  <si>
    <t>1ο  ΝΗΠΙΑΓΩΓΕΙΟ ΣΕΡΡΩΝ</t>
  </si>
  <si>
    <t>mail@1nip-serron.ser.sch.gr</t>
  </si>
  <si>
    <t>ΣΙΓΗΣ</t>
  </si>
  <si>
    <t>ΕΙΡΗΝΗ ΖΑΠΑΡΑ</t>
  </si>
  <si>
    <t>11ο  ΝΗΠΙΑΓΩΓΕΙΟ ΣΕΡΡΩΝ</t>
  </si>
  <si>
    <t>mail@11nip-serron.ser.sch.gr</t>
  </si>
  <si>
    <t>ΚΩΝΣΤΑΝΤΙΝΟΥΠΟΛΕΩΣ 74</t>
  </si>
  <si>
    <t>ΑΙΚΑΤΕΡΙΝΗ ΓΟΥΛΑ</t>
  </si>
  <si>
    <t>14ο ΝΗΠΙΑΓΩΓΕΙΟ ΣΕΡΡΩΝ</t>
  </si>
  <si>
    <t>mail@14nip-serron.ser.sch.gr</t>
  </si>
  <si>
    <t>ΚΥΠΡΟΥ 38</t>
  </si>
  <si>
    <t>ΕΥΜΟΡΦΙΑ ΓΑΡΥΦΑΛΛΙΔΟΥ</t>
  </si>
  <si>
    <t>ΛΙΘΟΤΟΠΟΥ</t>
  </si>
  <si>
    <t>ΝΗΠΙΑΓΩΓΕΙΟ ΛΙΘΟΤΟΠΟΥ</t>
  </si>
  <si>
    <t>mail@nip-lithot.ser.sch.gr</t>
  </si>
  <si>
    <t>ΛΙΘΟΤΟΠΟΣ ΣΕΡΡΩΝ</t>
  </si>
  <si>
    <t>ΚΥΡΙΑΚΗ ΓΡΟΥΛΙΟΥ</t>
  </si>
  <si>
    <t>23ο ΝΗΠΙΑΓΩΓΕΙΟ ΣΕΡΡΩΝ</t>
  </si>
  <si>
    <t>mail@23nip-serron.ser.sch.gr</t>
  </si>
  <si>
    <t>ΔΗΜΟΤΙΚΟ ΣΧΟΛΕΙΟ ΣΙΤΟΧΩΡΙΟΥ</t>
  </si>
  <si>
    <t>mail@dim-sitoch.ser.sch.gr</t>
  </si>
  <si>
    <t>ΔΗΜΗΤΡΙΟΣ ΚΟΚΚΙΝΟΣ</t>
  </si>
  <si>
    <t>ΝΗΠΙΑΓΩΓΕΙΟ ΠΡΩΤΗΣ ΣΕΡΡΩΝ</t>
  </si>
  <si>
    <t>mail@nip-protis.ser.sch.gr</t>
  </si>
  <si>
    <t>ΠΡΩΤΗΣ ΣΕΡΡΩΝ</t>
  </si>
  <si>
    <t>ΠΡΩΤΗ ΣΕΡΡΩΝ</t>
  </si>
  <si>
    <t>ΦΑΝΗ ΜΠΑΡΚΑ</t>
  </si>
  <si>
    <t>24ο ΝΗΠΙΑΓΩΓΕΙΟ ΣΕΡΡΩΝ</t>
  </si>
  <si>
    <t>mail@24nip-serron.ser.sch.gr</t>
  </si>
  <si>
    <t>ΔΥΤΙΚΗΣ ΘΡΑΚΗΣ 7</t>
  </si>
  <si>
    <t>ΓΕΩΡΓΙΑ ΔΡΑΚΑΚΗ</t>
  </si>
  <si>
    <t>ΠΡΟΒΑΤΑ</t>
  </si>
  <si>
    <t>ΝΗΠΙΑΓΩΓΕΙΟ ΠΡΟΒΑΤΑ</t>
  </si>
  <si>
    <t>mail@nip-provat.ser.sch.gr</t>
  </si>
  <si>
    <t>ΠΡΟΒΑΤΑΣ ΣΕΡΡΩΝ</t>
  </si>
  <si>
    <t>ΔΗΜΗΤΡΑ ΜΑΝΩΛΟΓΛΟΥ</t>
  </si>
  <si>
    <t>ΝΗΠΙΑΓΩΓΕΙΟ ΣΚΟΤΟΥΣΣΗΣ</t>
  </si>
  <si>
    <t>mail@nip-skotous.ser.sch.gr</t>
  </si>
  <si>
    <t>ΣΚΟΤΟΥΣΣΑ ΣΕΡΡΩΝ</t>
  </si>
  <si>
    <t>ΦΩΤΕΙΝΗ ΤΣΑΚΙΡΟΓΛΟΥ</t>
  </si>
  <si>
    <t>ΝΗΠΙΑΓΩΓΕΙΟ ΧΡΥΣΟΧΩΡΑΦΩΝ</t>
  </si>
  <si>
    <t>mail@nip-chrysoch.ser.sch.gr</t>
  </si>
  <si>
    <t>ΗΡΑΚΛΕΙΑ ΣΕΡΡΩΝ</t>
  </si>
  <si>
    <t>ΧΡΥΣΟΧΩΡΑΦΑ</t>
  </si>
  <si>
    <t>ΒΑΡΒΑΡΑ ΠΑΠΑΔΟΠΟΥΛΟΥ</t>
  </si>
  <si>
    <t>31ο ΝΗΠΙΑΓΩΓΕΙΟ ΣΕΡΡΩΝ</t>
  </si>
  <si>
    <t>mail@31nip-serron.ser.sch.gr</t>
  </si>
  <si>
    <t>ΛΕΩΝΙΔΑ ΠΑΠΑΠΑΥΛΟΥ 43</t>
  </si>
  <si>
    <t>ΕΛΙΣΑΒΕΤ ΚΩΝΣΤΑΝΤΙΝΟΥ</t>
  </si>
  <si>
    <t>1o ΝΗΠΙΑΓΩΓΕΙΟ ΗΡΑΚΛΕΙΑΣ ΣΕΡΡΩΝ</t>
  </si>
  <si>
    <t>mail@1nip-irakl.ser.sch.gr</t>
  </si>
  <si>
    <t>ΠΑΠΑΠΕΤΡΟΥ 1</t>
  </si>
  <si>
    <t>ΣΟΦΙΑ ΓΟΥΛΑ</t>
  </si>
  <si>
    <t>2ο ΝΗΠΙΑΓΩΓΕΙΟ ΗΡΑΚΛΕΙΑΣ</t>
  </si>
  <si>
    <t>mail@2nip-irakl.ser.sch.gr</t>
  </si>
  <si>
    <t>ΠΟΝΤΙΣΜΕΝΟΥ</t>
  </si>
  <si>
    <t>ΝΗΠΙΑΓΩΓΕΙΟ ΠΟΝΤΙΣΜΕΝΟΥ</t>
  </si>
  <si>
    <t>mail@nip-pontism.ser.sch.gr</t>
  </si>
  <si>
    <t>ΠΟΝΤΙΣΜΕΝΟ ΣΕΡΡΩΝ</t>
  </si>
  <si>
    <t>ΜΑΡΙΑ ΚΛΕΙΔΑΡΑ</t>
  </si>
  <si>
    <t>ΧΕΙΜΑΡΡΟΥ</t>
  </si>
  <si>
    <t>ΝΗΠΙΑΓΩΓΕΙΟ ΧΕΙΜΑΡΡΟΥ</t>
  </si>
  <si>
    <t>mail@nip-cheim.ser.sch.gr</t>
  </si>
  <si>
    <t>ΧΕΙΜΑΡΡΟΣ ΣΕΡΡΩΝ</t>
  </si>
  <si>
    <t>ΗΡΩ ΜΑΥΡΟΥΣΟΥΔΗ</t>
  </si>
  <si>
    <t>ΕΙΔΙΚΟ ΝΗΠΙΑΓΩΓΕΙΟ ΣΕΡΡΩΝ</t>
  </si>
  <si>
    <t>mail@nip-eid-serron.ser.sch.gr</t>
  </si>
  <si>
    <t>ΓΡΑΜΜΑΤΙΚΗ ΙΩΑΝΝΑ ΑΘΑΝΑΣΙΟΥ</t>
  </si>
  <si>
    <t>ΝΗΠΙΑΓΩΓΕΙΟ ΕΛΑΙΩΝΑΣ ΣΕΡΡΩΝ</t>
  </si>
  <si>
    <t>mail@nip-elaion.ser.sch.gr</t>
  </si>
  <si>
    <t>ΕΛΑΙΩΝΑΣ ΣΕΡΡΩΝ</t>
  </si>
  <si>
    <t>ΧΑΙΔΩ ΠΑΠΑΔΟΠΟΥΛΟΥ</t>
  </si>
  <si>
    <t>2ο  ΝΗΠΙΑΓΩΓΕΙΟ ΣΙΔΗΡΟΚΑΣΤΡΟΥ</t>
  </si>
  <si>
    <t>mail@2nip-sidir.ser.sch.gr</t>
  </si>
  <si>
    <t>ΣΤΕΦΑΝΙΔΗ 16</t>
  </si>
  <si>
    <t>ΜΑΡΙΑ ΣΩΖΟΥΛΗ</t>
  </si>
  <si>
    <t>3ο ΝΗΠΙΑΓΩΓΕΙΟ ΣΙΔΗΡΟΚΑΣΤΡΟΥ</t>
  </si>
  <si>
    <t>mail@3nip-sidir.ser.sch.gr</t>
  </si>
  <si>
    <t>27ης Ιουνίου 64 Β Σιδηρόκαστρο</t>
  </si>
  <si>
    <t>ΕΥΑΓΓΕΛΙΑ ΒΙΣΚΑ</t>
  </si>
  <si>
    <t>ΔΗΜΟΤΙΚΟ ΣΧΟΛΕΙΟ ΒΑΜΒΑΚΟΦΥΤΟΥ</t>
  </si>
  <si>
    <t>mail@dim-vamvak.ser.sch.gr</t>
  </si>
  <si>
    <t>ΒΑΜΒΑΚΟΦΥΤΟ</t>
  </si>
  <si>
    <t>ΔΗΜΗΤΡΗΣ ΜΠΙΤΣΙΟΣ</t>
  </si>
  <si>
    <t>33ο ΝΗΠΙΑΓΩΓΕΙΟ ΣΕΡΡΩΝ</t>
  </si>
  <si>
    <t>mail@33nip-serron.ser.sch.gr</t>
  </si>
  <si>
    <t>3 ΧΙΛ ΣΕΡΡΩΝ ΔΡΑΜΑΣ 3</t>
  </si>
  <si>
    <t>ΑΡΕΤΗ ΠΑΡΤΑΛΗ</t>
  </si>
  <si>
    <t>25ο ΝΗΠΙΑΓΩΓΕΙΟ ΣΕΡΡΩΝ</t>
  </si>
  <si>
    <t>mail@25nip-serron.ser.sch.gr</t>
  </si>
  <si>
    <t>ΕΛΕΝΗ ΠΑΠΑΕΥΘΥΜΙΟΥ</t>
  </si>
  <si>
    <t>ΔΗΜΟΤΙΚΟ ΣΧΟΛΕΙΟ ΝΕΟΥ ΣΚΟΠΟΥ</t>
  </si>
  <si>
    <t>mail@dim-n-skopou.ser.sch.gr</t>
  </si>
  <si>
    <t>ΝΕΟΣ ΣΚΟΠΟΣ</t>
  </si>
  <si>
    <t>ΠΛ. ΕΛΕΥΘΕΡΙΑΣ 14</t>
  </si>
  <si>
    <t>ΝΙΚΟΛΑΟΣ ΑΠΟΣΤΟΛΙΔΗΣ</t>
  </si>
  <si>
    <t>4ο ΝΗΠΙΑΓΩΓΕΙΟ ΣΙΔΗΡΟΚΑΣΤΡΟΥ</t>
  </si>
  <si>
    <t>mail@4nip-sidir.ser.sch.gr</t>
  </si>
  <si>
    <t>ΒΑΣ. ΓΕΩΡΓΙΟΥ 64</t>
  </si>
  <si>
    <t>ΠΑΡΘΕΝΑ ΚΟΧΛΙΑΡΙΔΟΥ</t>
  </si>
  <si>
    <t>ΝΗΠΙΑΓΩΓΕΙΟ ΧΑΡΟΠΟΥ</t>
  </si>
  <si>
    <t>mail@nip-charop.ser.sch.gr</t>
  </si>
  <si>
    <t>ΠΑΡΑΣΚΕΥΗ ΤΖΟΥΛΗ</t>
  </si>
  <si>
    <t>ΔΗΜΟΤΙΚΟ ΣΧΟΛΕΙΟ ΒΥΡΩΝΕΙΑΣ</t>
  </si>
  <si>
    <t>mail@dim-vyron.ser.sch.gr</t>
  </si>
  <si>
    <t>Βυρώνεια</t>
  </si>
  <si>
    <t>ΔΗΜΗΤΡΙΟΣ ΜΟΥΛΑΣ</t>
  </si>
  <si>
    <t>3ο ΔΗΜΟΤΙΚΟ ΣΧΟΛΕΙΟ ΣΙΔΗΡΟΚΑΣΤΡΟΥ</t>
  </si>
  <si>
    <t>mail@3dim-sidir.ser.sch.gr</t>
  </si>
  <si>
    <t>ΚΟΚΟΛΕΤΣΗ 22</t>
  </si>
  <si>
    <t>ΧΑΡΑΛΑΜΠΟΣ ΣΧΟΙΝΑΡΑΚΗΣ</t>
  </si>
  <si>
    <t>ΔΗΜΟΤΙΚΟ ΣΧΟΛΕΙΟ Ν.ΠΕΤΡΙΤΣΙΟΥ</t>
  </si>
  <si>
    <t>mail@dim-n-petrits.ser.sch.gr</t>
  </si>
  <si>
    <t>Ν.Πετρίτσι</t>
  </si>
  <si>
    <t>ΑΧΙΛΛΕΩΣ 5</t>
  </si>
  <si>
    <t>ΜΑΡΙΑ ΜΑΥΡΙΔΟΥ</t>
  </si>
  <si>
    <t>ΔΗΜΟΤΙΚΟ ΣΧΟΛΕΙΟ ΔΡΑΒΗΣΚΟΥ</t>
  </si>
  <si>
    <t>mail@dim-dravisk.ser.sch.gr</t>
  </si>
  <si>
    <t>ΠΑΝΑΓΙΩΤΗΣ ΤΖΙΓΙΕΡΑΣ</t>
  </si>
  <si>
    <t>ΔΗΜΟΤΙΚΟ ΣΧΟΛΕΙΟ Ν.ΣΟΥΛΙΟΥ</t>
  </si>
  <si>
    <t>mail@dim-n-souliou.ser.sch.gr</t>
  </si>
  <si>
    <t>Ν. ΣΟΥΛΙ ΣΕΡΡΩΝ</t>
  </si>
  <si>
    <t>Ν.ΣΟΥΛΙ ΣΕΡΡΩΝ</t>
  </si>
  <si>
    <t>ΚΩΝΣΤΑΝΤΙΝΟΣ ΣΤΑΪΚΟΠΟΥΛΟΣ</t>
  </si>
  <si>
    <t>ΒΑΛΤΟΤΟΠΙΟΥ</t>
  </si>
  <si>
    <t>ΔΗΜΟΤΙΚΟ ΣΧΟΛΕΙΟ ΒΑΛΤΟΤΟΠΙΟΥ ΣΕΡΡΩΝ</t>
  </si>
  <si>
    <t>mail@dim-valtot.ser.sch.gr</t>
  </si>
  <si>
    <t>Βαλτοτόπι Σερρών</t>
  </si>
  <si>
    <t>ΧΑΡΑΛΑΜΠΟΣ ΚΑΡΥΟΦΥΛΛΟΠΟΥΛΟΣ</t>
  </si>
  <si>
    <t>ΒΑΛΤΟΤΟΠΙ ΣΕΡΡΩΝ</t>
  </si>
  <si>
    <t>ΔΗΜΟΤΙΚΟ ΣΧΟΛΕΙΟ  ΝΕΟΧΩΡΙΟΥ</t>
  </si>
  <si>
    <t>mail@dim-neoch.ser.sch.gr</t>
  </si>
  <si>
    <t>Νεοχώρι</t>
  </si>
  <si>
    <t>ΧΑΡΑΛΑΜΠΟΣ ΜΠΟΥΝΤΟΥΡΙΔΗΣ</t>
  </si>
  <si>
    <t>13ο ΔΗΜΟΤΙΚΟ ΣΧΟΛΕΙΟ ΣΕΡΡΩΝ</t>
  </si>
  <si>
    <t>mail@13dim-serron.ser.sch.gr</t>
  </si>
  <si>
    <t>ΚΙΣΣΑΒΟΥ 8</t>
  </si>
  <si>
    <t>ΔΗΜΗΤΡΙΟΣ ΣΙΩΤΑΣ</t>
  </si>
  <si>
    <t>ΔΗΜΟΤΙΚΟ ΣΧΟΛΕΙΟ ΓΑΖΩΡΟΥ</t>
  </si>
  <si>
    <t>mail@dim-gazor.ser.sch.gr</t>
  </si>
  <si>
    <t>ΓΑΖΩΡΟΣ</t>
  </si>
  <si>
    <t>ΧΑΡΑΛΑΜΠΟΣ ΓΙΑΖΙΤΖΗΣ</t>
  </si>
  <si>
    <t>15ο ΔΗΜΟΤΙΚΟ ΣΧΟΛΕΙΟ ΣΕΡΡΩΝ</t>
  </si>
  <si>
    <t>mail@15dim-serron.ser.sch.gr</t>
  </si>
  <si>
    <t>ΔΗΜΗΤΡΙΟΣ ΚΟΛΛΙΟΠΟΥΛΟΣ</t>
  </si>
  <si>
    <t>1ο ΝΗΠΙΑΓΩΓΕΙΟ ΝΙΓΡΙΤΑΣ</t>
  </si>
  <si>
    <t>mail@1nip-nigrit.ser.sch.gr</t>
  </si>
  <si>
    <t>ΣΟΧΟΥ 5</t>
  </si>
  <si>
    <t>ΝΙΟΒΗ-ΧΡΙΣΤΙΝΑ ΠΟΥΛΙΤΣΙΔΟΥ</t>
  </si>
  <si>
    <t>11ο ΔΗΜΟΤΙΚΟ ΣΧΟΛΕΙΟ ΣΕΡΡΩΝ</t>
  </si>
  <si>
    <t>mail@11dim-serron.ser.sch.gr</t>
  </si>
  <si>
    <t>ΕΛΕΥΘΕΡΙΟΥ ΒΕΝΙΖΕΛΟΥ 132</t>
  </si>
  <si>
    <t>ΝΙΚΟΛΑΟΣ ΠΑΠΑΜΑΤΘΑΙΟΥ</t>
  </si>
  <si>
    <t>2ο  ΝΗΠΙΑΓΩΓΕΙΟ ΣΚΟΥΤΑΡΕΩΣ</t>
  </si>
  <si>
    <t>mail@2nip-skoutar.ser.sch.gr</t>
  </si>
  <si>
    <t>ΣΚΟΥΤΑΡΙ ΣΕΡΡΩΝ</t>
  </si>
  <si>
    <t>ΚΥΡΙΑΚΗ ΚΟΥΓΙΟΥΜΤΖΟΠΟΥΛΟΥ</t>
  </si>
  <si>
    <t>21ο ΔΗΜΟΤΙΚΟ ΣΧΟΛΕΙΟ ΣΕΡΡΩΝ</t>
  </si>
  <si>
    <t>mail@21dim-serron.ser.sch.gr</t>
  </si>
  <si>
    <t>ΔΗΜΟΤΙΚΟ ΣΧΟΛΕΙΟ ΑΛΙΣΤΡΑΤΗΣ ΣΕΡΡΩΝ</t>
  </si>
  <si>
    <t>mail@dim-alistr.ser.sch.gr</t>
  </si>
  <si>
    <t>ΑΛΙΣΤΡΑΤΗ</t>
  </si>
  <si>
    <t>ΠΑΝΑΓΙΩΤΗΣ ΟΜΙΛΙΑΔΗΣ</t>
  </si>
  <si>
    <t>ΔΗΜΟΤΙΚΟ ΣΧΟΛΕΙΟ ΠΡΩΤΗΣ "ΚΩΝΣΤΑΝΤΙΝΟΣ Γ. ΚΑΡΑΜΑΝΛΗΣ"</t>
  </si>
  <si>
    <t>mail@dim-protis.ser.sch.gr</t>
  </si>
  <si>
    <t xml:space="preserve">ΠΡΩΤΗ </t>
  </si>
  <si>
    <t>ΒΑΣΙΛΙΚΗ ΣΙΟΥΛΑ</t>
  </si>
  <si>
    <t>ΝΗΠΙΑΓΩΓΕΙΟ ΑΝΩ ΜΗΤΡΟΥΣΙΟΥ</t>
  </si>
  <si>
    <t>mail@nip-an-mitrous.ser.sch.gr</t>
  </si>
  <si>
    <t>ΑΝΩ ΜΗΤΡΟΥΣΙΟΥ</t>
  </si>
  <si>
    <t>ΑΝΩ ΜΗΤΡΟΥΣΙ ΣΕΡΡΩΝ</t>
  </si>
  <si>
    <t>ΦΩΤΕΙΝΗ ΡΑΤΚΙΔΟΥ</t>
  </si>
  <si>
    <t>9ο ΔΗΜΟΤΙΚΟ ΣΧΟΛΕΙΟ ΣΕΡΡΩΝ</t>
  </si>
  <si>
    <t>mail@9dim-serron.ser.sch.gr</t>
  </si>
  <si>
    <t>ΝΙΚΟΛΑΟΣ ΤΣΙΩΤΣΟΣ</t>
  </si>
  <si>
    <t>ΔΗΜΟΤΙΚΟ ΣΧΟΛΕΙΟ ΡΟΔΟΠΟΛΗΣ</t>
  </si>
  <si>
    <t>mail@dim-rodop.ser.sch.gr</t>
  </si>
  <si>
    <t>ΡΟΔΟΠΟΛΗ</t>
  </si>
  <si>
    <t>ΑΝΔΡΕΑΣ ΑΝΔΡΕΑΔΗΣ</t>
  </si>
  <si>
    <t>5ο ΔΗΜΟΤΙΚΟ ΣΧΟΛΕΙΟ ΣΕΡΡΩΝ</t>
  </si>
  <si>
    <t>mail@5dim-serron.ser.sch.gr</t>
  </si>
  <si>
    <t>ΔΗΜΗΤΡΙΟΥ ΜΑΡΟΥΛΗ 43</t>
  </si>
  <si>
    <t>ΠΑΝΑΓΙΩΤΗΣ ΤΑΣΤΣΙΔΗΣ</t>
  </si>
  <si>
    <t>17ο ΔΗΜΟΤΙΚΟ ΣΧΟΛΕΙΟ ΣΕΡΡΩΝ</t>
  </si>
  <si>
    <t>mail@17dim-serron.ser.sch.gr</t>
  </si>
  <si>
    <t>ΤΡΙΓΛΙΑΣ 36</t>
  </si>
  <si>
    <t>ΕΥΑΓΓΕΛΙΑ ΒΑΡΣΑΜΗ</t>
  </si>
  <si>
    <t>1ο ΔΗΜΟΤΙΚΟ ΣΧΟΛΕΙΟ ΣΙΔΗΡΟΚΑΣΤΡΟΥ</t>
  </si>
  <si>
    <t>mail@1dim-sidir.ser.sch.gr</t>
  </si>
  <si>
    <t>ΒΑΡΟΣΙ 1</t>
  </si>
  <si>
    <t>ΔΗΜΗΤΡΙΟΣ ΖΩΗΡΟΣ</t>
  </si>
  <si>
    <t>ΔΗΜΟΤΙΚΟ ΣΧΟΛΕΙΟ ΑΧΛΑΔΟΧΩΡΙΟΥ</t>
  </si>
  <si>
    <t>mail@dim-achlad.ser.sch.gr</t>
  </si>
  <si>
    <t>ΑΧΛΑΔΟΧΩΡΙ</t>
  </si>
  <si>
    <t>ΘΕΟΔΩΡΟΣ ΓΕΩΡΓΙΑΔΗΣ</t>
  </si>
  <si>
    <t>1ο ΔΗΜΟΤΙΚΟ ΣΧΟΛΕΙΟ ΝΙΓΡΙΤΑΣ</t>
  </si>
  <si>
    <t>mail@1dim-nigrit.ser.sch.gr</t>
  </si>
  <si>
    <t>ΑΓΓ. ΜΗΤΤΑ 1</t>
  </si>
  <si>
    <t>ΗΛΙΑΣ ΛΥΓΓΕΡΙΔΗΣ</t>
  </si>
  <si>
    <t>2ο ΔΗΜΟΤΙΚΟ ΣΧΟΛΕΙΟ ΝΙΓΡΙΤΑΣ</t>
  </si>
  <si>
    <t>mail@2dim-nigrit.ser.sch.gr</t>
  </si>
  <si>
    <t>ΔΗΜΟΚΡΑΤΙΑΣ 12</t>
  </si>
  <si>
    <t>ΠΑΝΑΓΙΩΤΑ ΑΡΓΥΡΟΠΟΥΛΟΥ</t>
  </si>
  <si>
    <t>3ο ΔΗΜΟΤΙΚΟ ΣΧΟΛΕΙΟ ΝΙΓΡΙΤΑΣ</t>
  </si>
  <si>
    <t>mail@3dim-nigrit.ser.sch.gr</t>
  </si>
  <si>
    <t>ΕΠΑΜΕΙΝΩΝΔΑ 2</t>
  </si>
  <si>
    <t>ΑΝΑΣΤΑΣΙΟΣ ΛΥΜΠΟΥΔΗΣ</t>
  </si>
  <si>
    <t>ΔΗΜΟΤΙΚΟ ΣΧΟΛΕΙΟ ΑΝΩ ΠΟΡΟΪΩΝ</t>
  </si>
  <si>
    <t>mail@dim-an-poroion.ser.sch.gr</t>
  </si>
  <si>
    <t>ΑΝΩ ΠΟΡΟΪΑ ΣΕΡΡΩΝ</t>
  </si>
  <si>
    <t>ΧΑΡΑΛΑΜΠΟΣ ΛΕΟΝΤΙΟΥ</t>
  </si>
  <si>
    <t>ΔΗΜΟΤΙΚΟ ΣΧΟΛΕΙΟ ΤΕΡΠΝΗΣ</t>
  </si>
  <si>
    <t>mail@dim-terpn.ser.sch.gr</t>
  </si>
  <si>
    <t>ΤΕΡΠΝΗ</t>
  </si>
  <si>
    <t>ΔΗΜΟΤΙΚΟ ΣΧΟΛΕΙΟ ΚΑΤΩ ΚΑΜΗΛΑΣ</t>
  </si>
  <si>
    <t>mail@dim-kat-kamil.ser.sch.gr</t>
  </si>
  <si>
    <t>ΧΑΡΙΣΗΣ ΔΟΒΑΣ</t>
  </si>
  <si>
    <t>ΔΗΜΟΤΙΚΟ ΣΧΟΛΕΙΟ ΔΗΜΗΤΡΙΤΣΙΟΥ</t>
  </si>
  <si>
    <t>mail@dim-dimitr.ser.sch.gr</t>
  </si>
  <si>
    <t>Δημητρίτσι</t>
  </si>
  <si>
    <t>ΔΗΜΗΤΡΙΤΣΙ</t>
  </si>
  <si>
    <t>ΝΙΚΟΛΑΟΣ ΤΣΟΥΚΑΣ</t>
  </si>
  <si>
    <t>ΔΗΜΟΤΙΚΟ ΣΧΟΛΕΙΟ ΣΚΟΥΤΑΡΕΩΣ</t>
  </si>
  <si>
    <t>mail@dim-skout.ser.sch.gr</t>
  </si>
  <si>
    <t>ΣΚΟΥΤΑΡΙ</t>
  </si>
  <si>
    <t>ΝΙΚΟΛΑΟΣ ΠΑΠΟΥΤΣΟΓΛΟΥ</t>
  </si>
  <si>
    <t>ΔΗΜΟΤΙΚΟ ΣΧΟΛΕΙΟ ΑΝΩ ΚΑΜΗΛΑΣ</t>
  </si>
  <si>
    <t>mail@dim-an-kamil.ser.sch.gr</t>
  </si>
  <si>
    <t>ΑΝΩ ΚΑΜΗΛΑ</t>
  </si>
  <si>
    <t>ΑΝΩ ΚΑΜΗΛΑ ΣΕΡΡΩΝ</t>
  </si>
  <si>
    <t>ΑΘΑΝΑΣΙΟΣ ΒΟΖΙΑΝΗΣ</t>
  </si>
  <si>
    <t>3ο ΔΗΜΟΤΙΚΟ ΣΧΟΛΕΙΟ ΣΕΡΡΩΝ</t>
  </si>
  <si>
    <t>mail@3dim-serron.ser.sch.gr</t>
  </si>
  <si>
    <t>ΚΩΝΣΤΑΝΤΙΝΟΥΠΟΛΕΩΣ 54</t>
  </si>
  <si>
    <t>ΑΙΚΑΤΕΡΙΝΗ ΘΕΟΔΟΣΕΛΗ</t>
  </si>
  <si>
    <t>2ο ΔΗΜΟΤΙΚΟ ΣΧΟΛΕΙΟ ΣΙΔΗΡΟΚΑΣΤΡΟΥ</t>
  </si>
  <si>
    <t>mail@2dim-sidir.ser.sch.gr</t>
  </si>
  <si>
    <t>ΝΙΚΟΛΑΟΥ ΙΝΤΖΕ 27</t>
  </si>
  <si>
    <t>ΕΥΘΥΜΙΟΣ ΤΣΙΛΙΚΙΔΗΣ</t>
  </si>
  <si>
    <t>19ο ΔΗΜΟΤΙΚΟ ΣΧΟΛΕΙΟ ΣΕΡΡΩΝ</t>
  </si>
  <si>
    <t>mail@19dim-serron.ser.sch.gr</t>
  </si>
  <si>
    <t>Σέρρες,</t>
  </si>
  <si>
    <t>ΜΕΓΑΛΟΥ ΑΛΕΞΑΝΔΡΟΥ 9</t>
  </si>
  <si>
    <t>ΓΕΩΡΓΙΟΣ ΠΟΡΓΙΟΠΟΥΛΟΣ</t>
  </si>
  <si>
    <t>ΔΗΜΟΤΙΚΟ ΣΧΟΛΕΙΟ ΚΑΤΩ ΟΡΕΙΝΗΣ</t>
  </si>
  <si>
    <t>mail@dim-k-orein.ser.sch.gr</t>
  </si>
  <si>
    <t>ΚΑΤΩ ΟΡΕΙΝΗ</t>
  </si>
  <si>
    <t>ΚΑΤΩ ΟΡΕΙΝΗ ΣΕΡΡΩΝ</t>
  </si>
  <si>
    <t>ΝΙΚΟΛΑΟΣ ΤΣΕΛΙΚΑΣ</t>
  </si>
  <si>
    <t>ΔΗΜΟΤΙΚΟ ΣΧΟΛΕΙΟ ΚΑΣΤΑΝΟΥΣΑΣ</t>
  </si>
  <si>
    <t>mail@dim-kastan.ser.sch.gr</t>
  </si>
  <si>
    <t>ΚΑΣΤΑΝΟΥΣΑ</t>
  </si>
  <si>
    <t>ΚΑΣΤΑΝΟΥΣΑ ΣΕΡΡΩΝ</t>
  </si>
  <si>
    <t>ΑΧΙΛΛΕΑΣ ΤΣΑΜΗΣ</t>
  </si>
  <si>
    <t>ΠΑΡΑΛΙΜΝΙΟΥ</t>
  </si>
  <si>
    <t>ΝΗΠΙΑΓΩΓΕΙΟ ΠΑΡΑΛΙΜΝΙΟΥ</t>
  </si>
  <si>
    <t>mail@nip-paral.ser.sch.gr</t>
  </si>
  <si>
    <t>ΠΑΡΑΛΙΜΝΙΟ ΣΕΡΡΩΝ</t>
  </si>
  <si>
    <t>ΝΗΠΙΑΓΩΓΕΙΟ ΚΑΣΤΑΝΟΥΣΑΣ</t>
  </si>
  <si>
    <t>mail@nip-kastan.ser.sch.gr</t>
  </si>
  <si>
    <t>ΚΑΣΤΑΝΟΥΣΑΣ</t>
  </si>
  <si>
    <t>ΚΑΣΤΑΝΟΥΣΑΣ ΣΕΡΡΩΝ</t>
  </si>
  <si>
    <t>ΕΙΡΗΝΗ ΚΑΛΑΦΑΤΗ</t>
  </si>
  <si>
    <t>ΝΗΠΙΑΓΩΓΕΙΟ ΚΑΤΩ ΟΡΕΙΝΗΣ</t>
  </si>
  <si>
    <t>mail@nip-k-orein.ser.sch.gr</t>
  </si>
  <si>
    <t>ΚΑΤΩ ΟΡΕΙΝΗΣ</t>
  </si>
  <si>
    <t>ΕΥΑΓΓΕΛΙΑ ΜΗΤΡΑΚΑ</t>
  </si>
  <si>
    <t>ΝΗΠΙΑΓΩΓΕΙΟ ΨΥΧΙΚΟΥ</t>
  </si>
  <si>
    <t>mail@nip-psych.ser.sch.gr</t>
  </si>
  <si>
    <t>ΠΑΝΑΓΙΩΤΑ ΚΑΣΑΠΙΔΟΥ</t>
  </si>
  <si>
    <t>ΝΗΠΙΑΓΩΓΕΙΟ ΒΑΛΤΟΤΟΠΙΟΥ</t>
  </si>
  <si>
    <t>mail@nip-valtot.ser.sch.gr</t>
  </si>
  <si>
    <t>ΣΟΦΙΑ ΤΣΙΦΛΙΔΟΥ</t>
  </si>
  <si>
    <t>ΜΟΝΟΒΡΥΣΗΣ</t>
  </si>
  <si>
    <t>ΝΗΠΙΑΓΩΓΕΙΟ ΜΟΝΟΒΡΥΣΗΣ</t>
  </si>
  <si>
    <t>mail@nip-monovr.ser.sch.gr</t>
  </si>
  <si>
    <t>ΜΟΝΟΒΡΥΣΗ ΣΕΡΡΩΝ</t>
  </si>
  <si>
    <t>ΠΕΤΡΟΥΛΑ ΦΟΥΡΝΑΡΗ</t>
  </si>
  <si>
    <t>ΔΗΜΟΤΙΚΟ ΣΧΟΛΕΙΟ ΧΕΙΜΑΡΡΟΥ</t>
  </si>
  <si>
    <t>dimchim@sch.gr</t>
  </si>
  <si>
    <t>ΧΕΙΜΑΡΡΟΣ</t>
  </si>
  <si>
    <t>ΑΛΕΞΑΝΔΡΟΣ ΠΑΠΟΥΔΑΣ</t>
  </si>
  <si>
    <t>ΔΑΣΟΧΩΡΙΟΥ</t>
  </si>
  <si>
    <t>ΔΗΜΟΤΙΚΟ ΣΧΟΛΕΙΟ ΔΑΣΟΧΩΡΙΟΥ ΣΕΡΡΩΝ</t>
  </si>
  <si>
    <t>mail@dim-dasoch.ser.sch.gr</t>
  </si>
  <si>
    <t>ΔΑΣΟΧΩΡΙ</t>
  </si>
  <si>
    <t>ΔΑΣΟΧΩΡΙ ΣΕΡΡΩΝ</t>
  </si>
  <si>
    <t>ΔΗΜΗΤΡΙΟΣ ΓΚΑΓΚΑΡΗΣ</t>
  </si>
  <si>
    <t>23ο ΔΗΜΟΤΙΚΟ ΣΧΟΛΕΙΟ ΣΕΡΡΩΝ</t>
  </si>
  <si>
    <t>mail@23dim-serron.ser.sch.gr</t>
  </si>
  <si>
    <t>ΤΣΑΛΟΠΟΥΛΟΥ 10</t>
  </si>
  <si>
    <t>ΑΚΡΙΒΗ ΓΕΡΑΚΗ</t>
  </si>
  <si>
    <t>ΝΗΠΙΑΓΩΓΕΙΟ ΝΕΟΥ ΠΕΤΡΙΤΣΙΟΥ</t>
  </si>
  <si>
    <t>mail@nip-n-petrits.ser.sch.gr</t>
  </si>
  <si>
    <t>ΝΕΟ ΠΕΤΡΙΤΣΙ ΣΕΡΡΩΝ</t>
  </si>
  <si>
    <t>28ης Οκτωβρίου 31</t>
  </si>
  <si>
    <t>ΓΑΡΥΦΑΛΛΙΑ ΜΩΥΣΙΔΟΥ</t>
  </si>
  <si>
    <t>ΔΗΜΟΤΙΚΟ ΣΧΟΛΕΙΟ ΚΟΙΜΗΣΗΣ</t>
  </si>
  <si>
    <t>mail@dim-koimis.ser.sch.gr</t>
  </si>
  <si>
    <t>ΜΙΧΑΗΛ ΘΕΟΔΩΡΙΔΗΣ</t>
  </si>
  <si>
    <t>ΔΗΜΟΤΙΚΟ ΣΧΟΛΕΙΟ ΑΝΩ ΜΗΤΡΟΥΣΙΟΥ</t>
  </si>
  <si>
    <t>mail@dim-an-mitrous.ser.sch.gr</t>
  </si>
  <si>
    <t>ΑΝΩ ΜΗΤΡΟΥΣΙ</t>
  </si>
  <si>
    <t>ΣΤΑΥΡΟΣ ΒΡΑΚΟΠΟΥΛΟΣ</t>
  </si>
  <si>
    <t>ΚΑΤΩ ΠΟΡΟΙΩΝ</t>
  </si>
  <si>
    <t>ΝΗΠΙΑΓΩΓΕΙΟ ΚΑΤΩ ΠΟΡΟΙΩΝ</t>
  </si>
  <si>
    <t>mail@nip-k-poroion.ser.sch.gr</t>
  </si>
  <si>
    <t>ΚΑΤΩ ΠΟΡΟΙΑ ΣΕΡΡΩΝ</t>
  </si>
  <si>
    <t>ΧΡΗΣΤΟΣ ΤΣΑΜΑΔΟΣ</t>
  </si>
  <si>
    <t>ΔΗΜΟΤΙΚΟ ΣΧΟΛΕΙΟ ΠΟΝΤΙΣΜΕΝΟΥ</t>
  </si>
  <si>
    <t>mail@dim-pontism.ser.sch.gr</t>
  </si>
  <si>
    <t>ΠΟΝΤΙΣΜΕΝΟ</t>
  </si>
  <si>
    <t>ΘΩΜΑΗ ΧΑΤΖΗΤΟΛΙΟΥ</t>
  </si>
  <si>
    <t>ΔΗΜΟΤΙΚΟ ΣΧΟΛΕΙΟ ΒΑΛΤΕΡΟΥ</t>
  </si>
  <si>
    <t>mail@dim-valter.ser.sch.gr</t>
  </si>
  <si>
    <t>ΒΑΛΤΕΡΟ</t>
  </si>
  <si>
    <t>ΝΙΚΟΛΑΟΣ ΤΑΟΥΣΑΝΗΣ</t>
  </si>
  <si>
    <t>ΝΗΠΙΑΓΩΓΕΙΟ ΝΕΟΧΩΡΙΟΥ ΣΙΝΤΙΚΗΣ ΣΕΡΡΩΝ</t>
  </si>
  <si>
    <t>mail@nip-neoch.ser.sch.gr</t>
  </si>
  <si>
    <t>ΝΕΟΧΩΡΙΟΥ ΣΙΝΤΙΚΗΣ ΣΕΡΡΩΝ</t>
  </si>
  <si>
    <t>ΝΕΟΧΩΡΙ ΣΙΝΤΙΚΗΣ ΣΕΡΡΩΝ</t>
  </si>
  <si>
    <t>ΟΥΡΑΝΙΑ ΑΖΑ</t>
  </si>
  <si>
    <t>ΔΗΜΟΤΙΚΟ ΣΧΟΛΕΙΟ ΧΡΥΣΟΥ</t>
  </si>
  <si>
    <t>mail@dim-chrys.ser.sch.gr</t>
  </si>
  <si>
    <t>ΧΡΥΣΟ ΣΕΡΡΩΝ</t>
  </si>
  <si>
    <t>ΔΗΜΗΤΡΙΟΣ ΧΟΥΛΙΟΥΜΗΣ</t>
  </si>
  <si>
    <t>ΔΗΜΟΤΙΚΟ ΣΧΟΛΕΙΟ ΣΚΟΤΟΥΣΣΗΣ</t>
  </si>
  <si>
    <t>mail@dim-skotouss.ser.sch.gr</t>
  </si>
  <si>
    <t>ΣΚΟΤΟΥΣΣΑ</t>
  </si>
  <si>
    <t>ΔΗΜΗΤΡΙΟΣ ΠΑΤΣΙΑΣ</t>
  </si>
  <si>
    <t>ΔΗΜΟΤΙΚΟ ΣΧΟΛΕΙΟ ΣΤΡΥΜΟΝΙΚΟΥ</t>
  </si>
  <si>
    <t>mail@dim-strym.ser.sch.gr</t>
  </si>
  <si>
    <t>ΑΝΔΡΕΑΣ ΜΠΙΚΟΣ</t>
  </si>
  <si>
    <t>ΔΗΜΟΤΙΚΟ ΣΧΟΛΕΙΟ ΠΡΟΒΑΤΑ</t>
  </si>
  <si>
    <t>mail@dim-provat.ser.sch.gr</t>
  </si>
  <si>
    <t>ΒΑΣΙΛΙΚΗ ΒΟΥΛΤΣΙΟΥ</t>
  </si>
  <si>
    <t>1ο ΔΗΜΟΤΙΚΟ ΣΧΟΛΕΙΟ ΗΡΑΚΛΕΙΑΣ</t>
  </si>
  <si>
    <t>mail@1dim-irakl.ser.sch.gr</t>
  </si>
  <si>
    <t>ΗΡΑΚΛΕΙΑ</t>
  </si>
  <si>
    <t>ΓΥΜΝΑΣΙΑΡΧΟΥ ΑΘΑΝΑΣΙΟΥ ΦΥΛΑΚΤΟΥ 1</t>
  </si>
  <si>
    <t>ΔΗΜΗΤΡΑ ΣΟΥΧΑΜΒΑΛΗ</t>
  </si>
  <si>
    <t>2ο ΔΗΜΟΤΙΚΟ ΣΧΟΛΕΙΟ ΗΡΑΚΛΕΙΑΣ</t>
  </si>
  <si>
    <t>mail@2dim-irakl.ser.sch.gr</t>
  </si>
  <si>
    <t>ΑΘΑΝΑΣΙΟΥ ΦΥΛΑΚΤΟΥ 1</t>
  </si>
  <si>
    <t>ΝΙΚΟΛΑΟΣ ΑΘΑΝΑΣΙΟΥ</t>
  </si>
  <si>
    <t>1ο ΝΗΠΙΑΓΩΓΕΙΟ ΣΚΟΥΤΑΡΕΩΣ</t>
  </si>
  <si>
    <t>mail@1nip-skoutar.ser.sch.gr</t>
  </si>
  <si>
    <t>ΦΩΤΕΙΝΗ ΠΙΤΑΚΗ</t>
  </si>
  <si>
    <t>25ο ΔΗΜΟΤΙΚΟ ΣΧΟΛΕΙΟ ΣΕΡΡΩΝ</t>
  </si>
  <si>
    <t>mail@25dim-serron.ser.sch.gr</t>
  </si>
  <si>
    <t>ΔΗΜΗΤΡΙΟΣ ΜΠΑΖΟΥΚΗΣ</t>
  </si>
  <si>
    <t>34ο ΝΗΠΙΑΓΩΓΕΙΟ ΣΕΡΡΩΝ</t>
  </si>
  <si>
    <t>mail@34nip-serron.ser.sch.gr</t>
  </si>
  <si>
    <t>ΕΛ.ΒΕΝΙΖΕΛΟΥ 137</t>
  </si>
  <si>
    <t>ΣΤΥΛΙΑΝΗ ΕΣΚΙΤΖΟΠΟΥΛΟΥ</t>
  </si>
  <si>
    <t>ΕΙΔΙΚΟ ΔΗΜΟΤΙΚΟ ΣΧΟΛΕΙΟ ΣΙΔΗΡΟΚΑΣΤΡΟΥ</t>
  </si>
  <si>
    <t>mail@dim-eid-sidir.ser.sch.gr</t>
  </si>
  <si>
    <t>ΑΘΗΝΑ ΤΑΞΙΔΟΥ</t>
  </si>
  <si>
    <t>ΕΙΔΙΚΟ ΔΗΜΟΤΙΚΟ ΣΧΟΛΕΙΟ ΣΕΡΡΩΝ - Ε.Δ.Σ. ΚΩΦΩΝ ΚΑΙ ΒΑΡΗΚΟΩΝ</t>
  </si>
  <si>
    <t>mail@dim-ekv-serron.ser.sch.gr</t>
  </si>
  <si>
    <t>ΠΕΙΡΑΜΑΤΙΚΟ ΔΗΜΟΤΙΚΟ ΣΧΟΛΕΙΟ ΣΕΡΡΩΝ - ΚΩΝΣΤΑΝΤΙΝΟΣ ΚΑΡΑΜΑΝΛΗΣ</t>
  </si>
  <si>
    <t>mail@dim-peir-serron.ser.sch.gr</t>
  </si>
  <si>
    <t>ΚΩΝ. ΠΑΛΑΙΟΛΟΓΟΥ 22</t>
  </si>
  <si>
    <t>ΣΠΥΡΙΔΩΝ ΚΥΡΙΑΖΙΔΗΣ</t>
  </si>
  <si>
    <t>ΜΕΓΑΛΟΧΩΡΙΟΥ</t>
  </si>
  <si>
    <t>ΝΗΠΙΑΓΩΓΕΙΟ ΜΕΓΑΛΟΧΩΡΙΟΥ</t>
  </si>
  <si>
    <t>mail@nip-megal.ser.sch.gr</t>
  </si>
  <si>
    <t>ΜΕΓΑΛΟΧΩΡΙ ΣΕΡΡΩΝ</t>
  </si>
  <si>
    <t>ΕΙΡΗΝΗ ΓΚΙΜΠΙΡΙΤΗ</t>
  </si>
  <si>
    <t>ΝΗΠΙΑΓΩΓΕΙΟ ΔΑΣΟΧΩΡΙΟΥ</t>
  </si>
  <si>
    <t>mail@nip-dasoch.ser.sch.gr</t>
  </si>
  <si>
    <t>ΜΑΡΙΑ ΚΑΤΣΑΒΑΚΗ</t>
  </si>
  <si>
    <t>ΠΑΛΑΙΟΚΑΣΤΡΟΥ</t>
  </si>
  <si>
    <t>ΝΗΠΙΑΓΩΓΕΙΟ ΠΑΛΑΙΟΚΑΣΤΡΟΥ ΣΕΡΡΩΝ</t>
  </si>
  <si>
    <t>mail@nip-palaiok.ser.sch.gr</t>
  </si>
  <si>
    <t>ΠΑΛΑΙΟΚΑΣΤΡΟ ΣΕΡΡΩΝ</t>
  </si>
  <si>
    <t>ΣΟΥΖΑΝΑ ΒΑΝΤΣΙΟΥ</t>
  </si>
  <si>
    <t>ΦΛΑΜΠΟΥΡΟΥ</t>
  </si>
  <si>
    <t>ΝΗΠΙΑΓΩΓΕΙΟ ΦΛΑΜΠΟΥΡΟΥ</t>
  </si>
  <si>
    <t>mail@nip-flamp.ser.sch.gr</t>
  </si>
  <si>
    <t>ΦΛΑΜΠΟΥΡΟ ΣΕΡΡΩΝ</t>
  </si>
  <si>
    <t>ΑΘΑΝΑΣΙΑ ΓΟΥΝΑΡΗ</t>
  </si>
  <si>
    <t>ΝΗΠΙΑΓΩΓΕΙΟ ΟΙΝΟΥΣΑΣ-ΑΓ.ΙΩΑΝΝΗ</t>
  </si>
  <si>
    <t>mail@nip-oinous.ser.sch.gr</t>
  </si>
  <si>
    <t>ΟΙΝΟΥΣΑΣ</t>
  </si>
  <si>
    <t>ΟΙΝΟΥΣΑ ΣΕΡΡΩΝ</t>
  </si>
  <si>
    <t>ΑΘΑΝΑΣΙΑ ΚΡΥΩΝΑ</t>
  </si>
  <si>
    <t>Ιδιωτικά Σχολεία</t>
  </si>
  <si>
    <t>ΘΕΟΔΩΡΙΔΟΥ ΠΑΥΛΙΝΑ &amp; ΣΙΑ Ο.Ε.</t>
  </si>
  <si>
    <t>info@paidikokolegio.gr</t>
  </si>
  <si>
    <t>2ο ΧΛΜ. ΣΕΡΡΩΝ-ΔΡΑΜΑΣ</t>
  </si>
  <si>
    <t>ΙΩΑΝΝΑΜΑΡΙΑ ΑΛΕΞΑΚΗ</t>
  </si>
  <si>
    <t>ΙΔΙΩΤΙΚΟ ΣΥΣΤΕΓΑΖΟΜΕΝΟ ΝΗΠΙΑΓΩΓΕΙΟ - ΑΝΕΣΙΑΔΟΥ ΚΑΣΣΙΑΝΗ</t>
  </si>
  <si>
    <t>anesiadou@yahoo.gr</t>
  </si>
  <si>
    <t>ΓΡΗΓΟΡΙΟΥ ΡΑΚΙΤΖΗ 50</t>
  </si>
  <si>
    <t>ΣΟΦΙΑ ΚΟΚΚΙΝΟΥ</t>
  </si>
  <si>
    <t>Ιδιωτικό Συστεγαζόμενο Νηπιαγωγείο - ΑΝΕΣΙΑΔΟΥ ΚΑΣΣΙΑΝΗ 2</t>
  </si>
  <si>
    <t>Γερμανού Καραβαγγέλη 2</t>
  </si>
  <si>
    <t>ΕΥΑΓΓΕΛΙΑ ΒΑΣΙΛΕΙΑΔΟΥ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</si>
</sst>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8"/>
      <color theme="3"/>
      <name val="Calibri Light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57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/>
  </cellXfs>
  <cellStyles count="42">
    <cellStyle name="20% - Έμφαση1" xfId="19" builtinId="30" customBuiltin="1"/>
    <cellStyle name="20% - Έμφαση2" xfId="23" builtinId="34" customBuiltin="1"/>
    <cellStyle name="20% - Έμφαση3" xfId="27" builtinId="38" customBuiltin="1"/>
    <cellStyle name="20% - Έμφαση4" xfId="31" builtinId="42" customBuiltin="1"/>
    <cellStyle name="20% - Έμφαση5" xfId="35" builtinId="46" customBuiltin="1"/>
    <cellStyle name="20% - Έμφαση6" xfId="39" builtinId="50" customBuiltin="1"/>
    <cellStyle name="40% - Έμφαση1" xfId="20" builtinId="31" customBuiltin="1"/>
    <cellStyle name="40% - Έμφαση2" xfId="24" builtinId="35" customBuiltin="1"/>
    <cellStyle name="40% - Έμφαση3" xfId="28" builtinId="39" customBuiltin="1"/>
    <cellStyle name="40% - Έμφαση4" xfId="32" builtinId="43" customBuiltin="1"/>
    <cellStyle name="40% - Έμφαση5" xfId="36" builtinId="47" customBuiltin="1"/>
    <cellStyle name="40% - Έμφαση6" xfId="40" builtinId="51" customBuiltin="1"/>
    <cellStyle name="60% - Έμφαση1" xfId="21" builtinId="32" customBuiltin="1"/>
    <cellStyle name="60% - Έμφαση2" xfId="25" builtinId="36" customBuiltin="1"/>
    <cellStyle name="60% - Έμφαση3" xfId="29" builtinId="40" customBuiltin="1"/>
    <cellStyle name="60% - Έμφαση4" xfId="33" builtinId="44" customBuiltin="1"/>
    <cellStyle name="60% - Έμφαση5" xfId="37" builtinId="48" customBuiltin="1"/>
    <cellStyle name="60% - Έμφαση6" xfId="41" builtinId="52" customBuiltin="1"/>
    <cellStyle name="Εισαγωγή" xfId="9" builtinId="20" customBuiltin="1"/>
    <cellStyle name="Έλεγχος κελιού" xfId="13" builtinId="23" customBuiltin="1"/>
    <cellStyle name="Έμφαση1" xfId="18" builtinId="29" customBuiltin="1"/>
    <cellStyle name="Έμφαση2" xfId="22" builtinId="33" customBuiltin="1"/>
    <cellStyle name="Έμφαση3" xfId="26" builtinId="37" customBuiltin="1"/>
    <cellStyle name="Έμφαση4" xfId="30" builtinId="41" customBuiltin="1"/>
    <cellStyle name="Έμφαση5" xfId="34" builtinId="45" customBuiltin="1"/>
    <cellStyle name="Έμφαση6" xfId="38" builtinId="49" customBuiltin="1"/>
    <cellStyle name="Έξοδος" xfId="10" builtinId="21" customBuiltin="1"/>
    <cellStyle name="Επεξηγηματικό κείμενο" xfId="16" builtinId="53" customBuiltin="1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5" builtinId="19" customBuiltin="1"/>
    <cellStyle name="Κακό" xfId="7" builtinId="27" customBuiltin="1"/>
    <cellStyle name="Καλό" xfId="6" builtinId="26" customBuiltin="1"/>
    <cellStyle name="Κανονικό" xfId="0" builtinId="0"/>
    <cellStyle name="Ουδέτερο" xfId="8" builtinId="28" customBuiltin="1"/>
    <cellStyle name="Προειδοποιητικό κείμενο" xfId="14" builtinId="11" customBuiltin="1"/>
    <cellStyle name="Σημείωση" xfId="15" builtinId="10" customBuiltin="1"/>
    <cellStyle name="Συνδεδεμένο κελί" xfId="12" builtinId="24" customBuiltin="1"/>
    <cellStyle name="Σύνολο" xfId="17" builtinId="25" customBuiltin="1"/>
    <cellStyle name="Τίτλος" xfId="1" builtinId="15" customBuiltin="1"/>
    <cellStyle name="Υπολογισμός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8"/>
  <sheetViews>
    <sheetView tabSelected="1" workbookViewId="0"/>
  </sheetViews>
  <sheetFormatPr defaultRowHeight="15" x14ac:dyDescent="0.25"/>
  <cols>
    <col min="1" max="1" width="24.5703125" bestFit="1" customWidth="1"/>
    <col min="2" max="2" width="20.28515625" bestFit="1" customWidth="1"/>
    <col min="3" max="3" width="16.7109375" bestFit="1" customWidth="1"/>
    <col min="4" max="4" width="10.7109375" bestFit="1" customWidth="1"/>
    <col min="5" max="5" width="70.42578125" bestFit="1" customWidth="1"/>
    <col min="6" max="6" width="16.140625" bestFit="1" customWidth="1"/>
    <col min="7" max="7" width="13.85546875" bestFit="1" customWidth="1"/>
    <col min="8" max="9" width="11" bestFit="1" customWidth="1"/>
    <col min="10" max="10" width="30.5703125" bestFit="1" customWidth="1"/>
    <col min="11" max="11" width="28.140625" bestFit="1" customWidth="1"/>
    <col min="12" max="12" width="38.5703125" bestFit="1" customWidth="1"/>
    <col min="13" max="13" width="6" bestFit="1" customWidth="1"/>
    <col min="14" max="14" width="19" bestFit="1" customWidth="1"/>
    <col min="15" max="15" width="18.42578125" bestFit="1" customWidth="1"/>
    <col min="16" max="16" width="12.85546875" bestFit="1" customWidth="1"/>
    <col min="17" max="17" width="27.85546875" bestFit="1" customWidth="1"/>
    <col min="18" max="18" width="14.85546875" bestFit="1" customWidth="1"/>
    <col min="19" max="19" width="17" bestFit="1" customWidth="1"/>
    <col min="20" max="20" width="35.140625" bestFit="1" customWidth="1"/>
    <col min="21" max="21" width="39.42578125" bestFit="1" customWidth="1"/>
  </cols>
  <sheetData>
    <row r="1" spans="1:2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x14ac:dyDescent="0.25">
      <c r="A2" t="s">
        <v>34</v>
      </c>
      <c r="B2" t="s">
        <v>22</v>
      </c>
      <c r="C2" t="s">
        <v>40</v>
      </c>
      <c r="D2" t="str">
        <f>"9520755"</f>
        <v>9520755</v>
      </c>
      <c r="E2" t="s">
        <v>41</v>
      </c>
      <c r="F2">
        <v>6</v>
      </c>
      <c r="G2">
        <v>6</v>
      </c>
      <c r="H2">
        <v>2321022114</v>
      </c>
      <c r="I2">
        <v>2321099523</v>
      </c>
      <c r="J2" t="s">
        <v>42</v>
      </c>
      <c r="K2" t="s">
        <v>43</v>
      </c>
      <c r="L2" t="s">
        <v>44</v>
      </c>
      <c r="M2">
        <v>62121</v>
      </c>
      <c r="N2" t="str">
        <f>"41.087811"</f>
        <v>41.087811</v>
      </c>
      <c r="O2" t="str">
        <f>"23.538955"</f>
        <v>23.538955</v>
      </c>
      <c r="P2" t="s">
        <v>28</v>
      </c>
      <c r="R2">
        <v>570989</v>
      </c>
      <c r="S2">
        <v>37029885</v>
      </c>
      <c r="T2" t="s">
        <v>45</v>
      </c>
      <c r="U2" t="s">
        <v>46</v>
      </c>
    </row>
    <row r="3" spans="1:21" x14ac:dyDescent="0.25">
      <c r="A3" t="s">
        <v>34</v>
      </c>
      <c r="B3" t="s">
        <v>22</v>
      </c>
      <c r="C3" t="s">
        <v>40</v>
      </c>
      <c r="D3" t="str">
        <f>"9440152"</f>
        <v>9440152</v>
      </c>
      <c r="E3" t="s">
        <v>55</v>
      </c>
      <c r="F3">
        <v>12</v>
      </c>
      <c r="G3">
        <v>12</v>
      </c>
      <c r="H3">
        <v>2321035797</v>
      </c>
      <c r="I3">
        <v>2321097967</v>
      </c>
      <c r="J3" t="s">
        <v>56</v>
      </c>
      <c r="K3" t="s">
        <v>57</v>
      </c>
      <c r="L3" t="s">
        <v>58</v>
      </c>
      <c r="M3">
        <v>62123</v>
      </c>
      <c r="N3" t="str">
        <f>"41.085160"</f>
        <v>41.085160</v>
      </c>
      <c r="O3" t="str">
        <f>"23.549832"</f>
        <v>23.549832</v>
      </c>
      <c r="P3" t="s">
        <v>29</v>
      </c>
      <c r="Q3">
        <v>1</v>
      </c>
      <c r="R3">
        <v>554483</v>
      </c>
      <c r="S3">
        <v>30399513</v>
      </c>
      <c r="T3" t="s">
        <v>59</v>
      </c>
      <c r="U3" t="s">
        <v>60</v>
      </c>
    </row>
    <row r="4" spans="1:21" x14ac:dyDescent="0.25">
      <c r="A4" t="s">
        <v>34</v>
      </c>
      <c r="B4" t="s">
        <v>22</v>
      </c>
      <c r="C4" t="s">
        <v>40</v>
      </c>
      <c r="D4" t="str">
        <f>"9440146"</f>
        <v>9440146</v>
      </c>
      <c r="E4" t="s">
        <v>76</v>
      </c>
      <c r="F4">
        <v>6</v>
      </c>
      <c r="G4">
        <v>12</v>
      </c>
      <c r="H4">
        <v>2321022114</v>
      </c>
      <c r="I4">
        <v>2321099523</v>
      </c>
      <c r="J4" t="s">
        <v>77</v>
      </c>
      <c r="K4" t="s">
        <v>57</v>
      </c>
      <c r="L4" t="s">
        <v>78</v>
      </c>
      <c r="M4">
        <v>62121</v>
      </c>
      <c r="N4" t="str">
        <f>"41.087341"</f>
        <v>41.087341</v>
      </c>
      <c r="O4" t="str">
        <f>"23.539250"</f>
        <v>23.539250</v>
      </c>
      <c r="P4" t="s">
        <v>28</v>
      </c>
      <c r="R4">
        <v>553411</v>
      </c>
      <c r="S4">
        <v>31104750</v>
      </c>
      <c r="T4" t="s">
        <v>79</v>
      </c>
      <c r="U4" t="s">
        <v>46</v>
      </c>
    </row>
    <row r="5" spans="1:21" x14ac:dyDescent="0.25">
      <c r="A5" t="s">
        <v>34</v>
      </c>
      <c r="B5" t="s">
        <v>22</v>
      </c>
      <c r="C5" t="s">
        <v>40</v>
      </c>
      <c r="D5" t="str">
        <f>"9440087"</f>
        <v>9440087</v>
      </c>
      <c r="E5" t="s">
        <v>91</v>
      </c>
      <c r="F5">
        <v>11</v>
      </c>
      <c r="G5">
        <v>12</v>
      </c>
      <c r="H5">
        <v>2321020903</v>
      </c>
      <c r="I5">
        <v>2321053025</v>
      </c>
      <c r="J5" t="s">
        <v>92</v>
      </c>
      <c r="K5" t="s">
        <v>57</v>
      </c>
      <c r="L5" t="s">
        <v>93</v>
      </c>
      <c r="M5">
        <v>62122</v>
      </c>
      <c r="N5" t="str">
        <f>"41.095914"</f>
        <v>41.095914</v>
      </c>
      <c r="O5" t="str">
        <f>"23.548615"</f>
        <v>23.548615</v>
      </c>
      <c r="P5" t="s">
        <v>29</v>
      </c>
      <c r="Q5">
        <v>1</v>
      </c>
      <c r="R5">
        <v>576828</v>
      </c>
      <c r="S5">
        <v>35186430</v>
      </c>
      <c r="T5" t="s">
        <v>94</v>
      </c>
      <c r="U5" t="s">
        <v>95</v>
      </c>
    </row>
    <row r="6" spans="1:21" x14ac:dyDescent="0.25">
      <c r="A6" t="s">
        <v>34</v>
      </c>
      <c r="B6" t="s">
        <v>22</v>
      </c>
      <c r="C6" t="s">
        <v>40</v>
      </c>
      <c r="D6" t="str">
        <f>"9440394"</f>
        <v>9440394</v>
      </c>
      <c r="E6" t="s">
        <v>100</v>
      </c>
      <c r="F6">
        <v>6</v>
      </c>
      <c r="G6">
        <v>7</v>
      </c>
      <c r="H6">
        <v>2321036769</v>
      </c>
      <c r="I6">
        <v>2321036458</v>
      </c>
      <c r="J6" t="s">
        <v>101</v>
      </c>
      <c r="K6" t="s">
        <v>57</v>
      </c>
      <c r="L6" t="s">
        <v>102</v>
      </c>
      <c r="M6">
        <v>62123</v>
      </c>
      <c r="N6" t="str">
        <f>"41.084103"</f>
        <v>41.084103</v>
      </c>
      <c r="O6" t="str">
        <f>"23.546851"</f>
        <v>23.546851</v>
      </c>
      <c r="P6" t="s">
        <v>28</v>
      </c>
      <c r="R6">
        <v>556908</v>
      </c>
      <c r="S6">
        <v>30548105</v>
      </c>
      <c r="T6" t="s">
        <v>103</v>
      </c>
      <c r="U6" t="s">
        <v>60</v>
      </c>
    </row>
    <row r="7" spans="1:21" x14ac:dyDescent="0.25">
      <c r="A7" t="s">
        <v>34</v>
      </c>
      <c r="B7" t="s">
        <v>22</v>
      </c>
      <c r="C7" t="s">
        <v>40</v>
      </c>
      <c r="D7" t="str">
        <f>"9440081"</f>
        <v>9440081</v>
      </c>
      <c r="E7" t="s">
        <v>135</v>
      </c>
      <c r="F7">
        <v>12</v>
      </c>
      <c r="G7">
        <v>12</v>
      </c>
      <c r="H7">
        <v>2321064117</v>
      </c>
      <c r="I7">
        <v>2321099531</v>
      </c>
      <c r="J7" t="s">
        <v>136</v>
      </c>
      <c r="K7" t="s">
        <v>57</v>
      </c>
      <c r="L7" t="s">
        <v>137</v>
      </c>
      <c r="M7">
        <v>62122</v>
      </c>
      <c r="N7" t="str">
        <f>"41.091885"</f>
        <v>41.091885</v>
      </c>
      <c r="O7" t="str">
        <f>"23.566139"</f>
        <v>23.566139</v>
      </c>
      <c r="P7" t="s">
        <v>28</v>
      </c>
      <c r="R7">
        <v>562479</v>
      </c>
      <c r="S7">
        <v>34327742</v>
      </c>
      <c r="T7" t="s">
        <v>138</v>
      </c>
      <c r="U7" t="s">
        <v>95</v>
      </c>
    </row>
    <row r="8" spans="1:21" x14ac:dyDescent="0.25">
      <c r="A8" t="s">
        <v>65</v>
      </c>
      <c r="B8" t="s">
        <v>80</v>
      </c>
      <c r="C8" t="s">
        <v>40</v>
      </c>
      <c r="D8" t="str">
        <f>"9440134"</f>
        <v>9440134</v>
      </c>
      <c r="E8" t="s">
        <v>140</v>
      </c>
      <c r="F8">
        <v>6</v>
      </c>
      <c r="G8">
        <v>6</v>
      </c>
      <c r="H8">
        <v>2321031592</v>
      </c>
      <c r="I8">
        <v>2321031592</v>
      </c>
      <c r="J8" t="s">
        <v>141</v>
      </c>
      <c r="L8" t="s">
        <v>142</v>
      </c>
      <c r="M8">
        <v>62500</v>
      </c>
      <c r="N8" t="str">
        <f>"41.006760"</f>
        <v>41.006760</v>
      </c>
      <c r="O8" t="str">
        <f>"23.625348"</f>
        <v>23.625348</v>
      </c>
      <c r="P8" t="s">
        <v>28</v>
      </c>
      <c r="R8">
        <v>559095</v>
      </c>
      <c r="S8">
        <v>30138478</v>
      </c>
      <c r="T8" t="s">
        <v>143</v>
      </c>
      <c r="U8" t="s">
        <v>46</v>
      </c>
    </row>
    <row r="9" spans="1:21" x14ac:dyDescent="0.25">
      <c r="A9" t="s">
        <v>34</v>
      </c>
      <c r="B9" t="s">
        <v>22</v>
      </c>
      <c r="C9" t="s">
        <v>40</v>
      </c>
      <c r="D9" t="str">
        <f>"9440075"</f>
        <v>9440075</v>
      </c>
      <c r="E9" t="s">
        <v>144</v>
      </c>
      <c r="F9">
        <v>12</v>
      </c>
      <c r="G9">
        <v>12</v>
      </c>
      <c r="H9">
        <v>2321037524</v>
      </c>
      <c r="I9">
        <v>2321046999</v>
      </c>
      <c r="J9" t="s">
        <v>145</v>
      </c>
      <c r="K9" t="s">
        <v>57</v>
      </c>
      <c r="L9" t="s">
        <v>146</v>
      </c>
      <c r="M9">
        <v>62124</v>
      </c>
      <c r="N9" t="str">
        <f>"41.081801"</f>
        <v>41.081801</v>
      </c>
      <c r="O9" t="str">
        <f>"23.554808"</f>
        <v>23.554808</v>
      </c>
      <c r="P9" t="s">
        <v>29</v>
      </c>
      <c r="Q9">
        <v>2</v>
      </c>
      <c r="R9">
        <v>599237</v>
      </c>
      <c r="S9">
        <v>50625677</v>
      </c>
      <c r="T9" t="s">
        <v>147</v>
      </c>
      <c r="U9" t="s">
        <v>60</v>
      </c>
    </row>
    <row r="10" spans="1:21" x14ac:dyDescent="0.25">
      <c r="A10" t="s">
        <v>34</v>
      </c>
      <c r="B10" t="s">
        <v>22</v>
      </c>
      <c r="C10" t="s">
        <v>40</v>
      </c>
      <c r="D10" t="str">
        <f>"9440174"</f>
        <v>9440174</v>
      </c>
      <c r="E10" t="s">
        <v>148</v>
      </c>
      <c r="F10">
        <v>7</v>
      </c>
      <c r="G10">
        <v>10</v>
      </c>
      <c r="H10">
        <v>2321050586</v>
      </c>
      <c r="I10">
        <v>2321035156</v>
      </c>
      <c r="J10" t="s">
        <v>149</v>
      </c>
      <c r="K10" t="s">
        <v>150</v>
      </c>
      <c r="L10" t="s">
        <v>151</v>
      </c>
      <c r="M10">
        <v>62100</v>
      </c>
      <c r="N10" t="str">
        <f>"41.103660"</f>
        <v>41.103660</v>
      </c>
      <c r="O10" t="str">
        <f>"23.494272"</f>
        <v>23.494272</v>
      </c>
      <c r="P10" t="s">
        <v>29</v>
      </c>
      <c r="Q10">
        <v>1</v>
      </c>
      <c r="R10">
        <v>588645</v>
      </c>
      <c r="S10">
        <v>113386130</v>
      </c>
      <c r="T10" t="s">
        <v>152</v>
      </c>
      <c r="U10" t="s">
        <v>46</v>
      </c>
    </row>
    <row r="11" spans="1:21" x14ac:dyDescent="0.25">
      <c r="A11" t="s">
        <v>34</v>
      </c>
      <c r="B11" t="s">
        <v>22</v>
      </c>
      <c r="C11" t="s">
        <v>40</v>
      </c>
      <c r="D11" t="str">
        <f>"9440084"</f>
        <v>9440084</v>
      </c>
      <c r="E11" t="s">
        <v>161</v>
      </c>
      <c r="F11">
        <v>6</v>
      </c>
      <c r="G11">
        <v>6</v>
      </c>
      <c r="H11">
        <v>2321025281</v>
      </c>
      <c r="I11">
        <v>2321025637</v>
      </c>
      <c r="J11" t="s">
        <v>162</v>
      </c>
      <c r="K11" t="s">
        <v>163</v>
      </c>
      <c r="L11" t="s">
        <v>164</v>
      </c>
      <c r="M11">
        <v>62100</v>
      </c>
      <c r="N11" t="str">
        <f>"41.101293"</f>
        <v>41.101293</v>
      </c>
      <c r="O11" t="str">
        <f>"23.584646"</f>
        <v>23.584646</v>
      </c>
      <c r="P11" t="s">
        <v>28</v>
      </c>
      <c r="R11">
        <v>573682</v>
      </c>
      <c r="S11">
        <v>33769510</v>
      </c>
      <c r="T11" t="s">
        <v>165</v>
      </c>
      <c r="U11" t="s">
        <v>95</v>
      </c>
    </row>
    <row r="12" spans="1:21" x14ac:dyDescent="0.25">
      <c r="A12" t="s">
        <v>65</v>
      </c>
      <c r="B12" t="s">
        <v>22</v>
      </c>
      <c r="C12" t="s">
        <v>40</v>
      </c>
      <c r="D12" t="str">
        <f>"9440167"</f>
        <v>9440167</v>
      </c>
      <c r="E12" t="s">
        <v>166</v>
      </c>
      <c r="F12">
        <v>6</v>
      </c>
      <c r="G12">
        <v>6</v>
      </c>
      <c r="H12">
        <v>2321078002</v>
      </c>
      <c r="I12">
        <v>2321078002</v>
      </c>
      <c r="J12" t="s">
        <v>167</v>
      </c>
      <c r="K12" t="s">
        <v>168</v>
      </c>
      <c r="L12" t="s">
        <v>70</v>
      </c>
      <c r="M12">
        <v>62100</v>
      </c>
      <c r="N12" t="str">
        <f>"41.100511"</f>
        <v>41.100511</v>
      </c>
      <c r="O12" t="str">
        <f>"23.422821"</f>
        <v>23.422821</v>
      </c>
      <c r="P12" t="s">
        <v>28</v>
      </c>
      <c r="R12">
        <v>566265</v>
      </c>
      <c r="S12">
        <v>35728363</v>
      </c>
      <c r="T12" t="s">
        <v>169</v>
      </c>
      <c r="U12" t="s">
        <v>60</v>
      </c>
    </row>
    <row r="13" spans="1:21" x14ac:dyDescent="0.25">
      <c r="A13" t="s">
        <v>65</v>
      </c>
      <c r="B13" t="s">
        <v>80</v>
      </c>
      <c r="C13" t="s">
        <v>40</v>
      </c>
      <c r="D13" t="str">
        <f>"9440123"</f>
        <v>9440123</v>
      </c>
      <c r="E13" t="s">
        <v>173</v>
      </c>
      <c r="F13">
        <v>6</v>
      </c>
      <c r="G13">
        <v>6</v>
      </c>
      <c r="H13">
        <v>2321071543</v>
      </c>
      <c r="I13">
        <v>2321071543</v>
      </c>
      <c r="J13" t="s">
        <v>174</v>
      </c>
      <c r="K13" t="s">
        <v>175</v>
      </c>
      <c r="L13" t="s">
        <v>176</v>
      </c>
      <c r="M13">
        <v>62048</v>
      </c>
      <c r="N13" t="str">
        <f>"41.047878"</f>
        <v>41.047878</v>
      </c>
      <c r="O13" t="str">
        <f>"23.685705"</f>
        <v>23.685705</v>
      </c>
      <c r="P13" t="s">
        <v>28</v>
      </c>
      <c r="R13">
        <v>585880</v>
      </c>
      <c r="S13">
        <v>54871855</v>
      </c>
      <c r="T13" t="s">
        <v>177</v>
      </c>
      <c r="U13" t="s">
        <v>46</v>
      </c>
    </row>
    <row r="14" spans="1:21" x14ac:dyDescent="0.25">
      <c r="A14" t="s">
        <v>21</v>
      </c>
      <c r="B14" t="s">
        <v>23</v>
      </c>
      <c r="C14" t="s">
        <v>40</v>
      </c>
      <c r="D14" t="str">
        <f>"9440218"</f>
        <v>9440218</v>
      </c>
      <c r="E14" t="s">
        <v>194</v>
      </c>
      <c r="F14">
        <v>2</v>
      </c>
      <c r="G14">
        <v>2</v>
      </c>
      <c r="H14">
        <v>2323041060</v>
      </c>
      <c r="I14">
        <v>2323041060</v>
      </c>
      <c r="J14" t="s">
        <v>195</v>
      </c>
      <c r="K14" t="s">
        <v>27</v>
      </c>
      <c r="L14" t="s">
        <v>196</v>
      </c>
      <c r="M14">
        <v>62300</v>
      </c>
      <c r="N14" t="str">
        <f>"41.374649"</f>
        <v>41.374649</v>
      </c>
      <c r="O14" t="str">
        <f>"23.444570"</f>
        <v>23.444570</v>
      </c>
      <c r="P14" t="s">
        <v>28</v>
      </c>
      <c r="R14">
        <v>610706</v>
      </c>
      <c r="S14">
        <v>46899422</v>
      </c>
      <c r="T14" t="s">
        <v>197</v>
      </c>
      <c r="U14" t="s">
        <v>95</v>
      </c>
    </row>
    <row r="15" spans="1:21" x14ac:dyDescent="0.25">
      <c r="A15" t="s">
        <v>34</v>
      </c>
      <c r="B15" t="s">
        <v>22</v>
      </c>
      <c r="C15" t="s">
        <v>40</v>
      </c>
      <c r="D15" t="str">
        <f>"9440072"</f>
        <v>9440072</v>
      </c>
      <c r="E15" t="s">
        <v>212</v>
      </c>
      <c r="F15">
        <v>12</v>
      </c>
      <c r="G15">
        <v>12</v>
      </c>
      <c r="H15">
        <v>2321035995</v>
      </c>
      <c r="I15">
        <v>2321035975</v>
      </c>
      <c r="J15" t="s">
        <v>213</v>
      </c>
      <c r="K15" t="s">
        <v>57</v>
      </c>
      <c r="L15" t="s">
        <v>214</v>
      </c>
      <c r="M15">
        <v>62123</v>
      </c>
      <c r="N15" t="str">
        <f>"41.083867"</f>
        <v>41.083867</v>
      </c>
      <c r="O15" t="str">
        <f>"23.546684"</f>
        <v>23.546684</v>
      </c>
      <c r="P15" t="s">
        <v>28</v>
      </c>
      <c r="R15">
        <v>567398</v>
      </c>
      <c r="S15">
        <v>29552489</v>
      </c>
      <c r="T15" t="s">
        <v>215</v>
      </c>
      <c r="U15" t="s">
        <v>60</v>
      </c>
    </row>
    <row r="16" spans="1:21" x14ac:dyDescent="0.25">
      <c r="A16" t="s">
        <v>33</v>
      </c>
      <c r="B16" t="s">
        <v>23</v>
      </c>
      <c r="C16" t="s">
        <v>40</v>
      </c>
      <c r="D16" t="str">
        <f>"9440280"</f>
        <v>9440280</v>
      </c>
      <c r="E16" t="s">
        <v>301</v>
      </c>
      <c r="F16">
        <v>6</v>
      </c>
      <c r="G16">
        <v>6</v>
      </c>
      <c r="H16">
        <v>2323022868</v>
      </c>
      <c r="I16">
        <v>2323022868</v>
      </c>
      <c r="J16" t="s">
        <v>302</v>
      </c>
      <c r="K16" t="s">
        <v>303</v>
      </c>
      <c r="L16" t="s">
        <v>304</v>
      </c>
      <c r="M16">
        <v>62300</v>
      </c>
      <c r="N16" t="str">
        <f>"41.264596"</f>
        <v>41.264596</v>
      </c>
      <c r="O16" t="str">
        <f>"23.374596"</f>
        <v>23.374596</v>
      </c>
      <c r="P16" t="s">
        <v>28</v>
      </c>
      <c r="R16">
        <v>568297</v>
      </c>
      <c r="S16">
        <v>36037181</v>
      </c>
      <c r="T16" t="s">
        <v>305</v>
      </c>
      <c r="U16" t="s">
        <v>95</v>
      </c>
    </row>
    <row r="17" spans="1:21" x14ac:dyDescent="0.25">
      <c r="A17" t="s">
        <v>33</v>
      </c>
      <c r="B17" t="s">
        <v>231</v>
      </c>
      <c r="C17" t="s">
        <v>40</v>
      </c>
      <c r="D17" t="str">
        <f>"9440328"</f>
        <v>9440328</v>
      </c>
      <c r="E17" t="s">
        <v>311</v>
      </c>
      <c r="F17">
        <v>6</v>
      </c>
      <c r="G17">
        <v>6</v>
      </c>
      <c r="H17">
        <v>2324022325</v>
      </c>
      <c r="I17">
        <v>2324022325</v>
      </c>
      <c r="J17" t="s">
        <v>312</v>
      </c>
      <c r="K17" t="s">
        <v>313</v>
      </c>
      <c r="L17" t="s">
        <v>314</v>
      </c>
      <c r="M17">
        <v>62042</v>
      </c>
      <c r="N17" t="str">
        <f>"41.031621"</f>
        <v>41.031621</v>
      </c>
      <c r="O17" t="str">
        <f>"23.832622"</f>
        <v>23.832622</v>
      </c>
      <c r="P17" t="s">
        <v>29</v>
      </c>
      <c r="Q17">
        <v>1</v>
      </c>
      <c r="R17">
        <v>585759</v>
      </c>
      <c r="S17">
        <v>58437488</v>
      </c>
      <c r="T17" t="s">
        <v>315</v>
      </c>
      <c r="U17" t="s">
        <v>46</v>
      </c>
    </row>
    <row r="18" spans="1:21" x14ac:dyDescent="0.25">
      <c r="A18" t="s">
        <v>34</v>
      </c>
      <c r="B18" t="s">
        <v>22</v>
      </c>
      <c r="C18" t="s">
        <v>40</v>
      </c>
      <c r="D18" t="str">
        <f>"9440079"</f>
        <v>9440079</v>
      </c>
      <c r="E18" t="s">
        <v>324</v>
      </c>
      <c r="F18">
        <v>6</v>
      </c>
      <c r="G18">
        <v>7</v>
      </c>
      <c r="H18">
        <v>2321022976</v>
      </c>
      <c r="I18">
        <v>2321053643</v>
      </c>
      <c r="J18" t="s">
        <v>325</v>
      </c>
      <c r="K18" t="s">
        <v>57</v>
      </c>
      <c r="L18" t="s">
        <v>326</v>
      </c>
      <c r="M18">
        <v>62124</v>
      </c>
      <c r="N18" t="str">
        <f>"41.089208"</f>
        <v>41.089208</v>
      </c>
      <c r="O18" t="str">
        <f>"23.552507"</f>
        <v>23.552507</v>
      </c>
      <c r="P18" t="s">
        <v>28</v>
      </c>
      <c r="R18">
        <v>571347</v>
      </c>
      <c r="S18">
        <v>35668835</v>
      </c>
      <c r="T18" t="s">
        <v>327</v>
      </c>
      <c r="U18" t="s">
        <v>60</v>
      </c>
    </row>
    <row r="19" spans="1:21" x14ac:dyDescent="0.25">
      <c r="A19" t="s">
        <v>34</v>
      </c>
      <c r="B19" t="s">
        <v>22</v>
      </c>
      <c r="C19" t="s">
        <v>40</v>
      </c>
      <c r="D19" t="str">
        <f>"9440151"</f>
        <v>9440151</v>
      </c>
      <c r="E19" t="s">
        <v>332</v>
      </c>
      <c r="F19">
        <v>12</v>
      </c>
      <c r="G19">
        <v>10</v>
      </c>
      <c r="H19">
        <v>2321038628</v>
      </c>
      <c r="I19">
        <v>2321038559</v>
      </c>
      <c r="J19" t="s">
        <v>333</v>
      </c>
      <c r="K19" t="s">
        <v>57</v>
      </c>
      <c r="L19" t="s">
        <v>334</v>
      </c>
      <c r="M19">
        <v>62125</v>
      </c>
      <c r="N19" t="str">
        <f>"41.077824"</f>
        <v>41.077824</v>
      </c>
      <c r="O19" t="str">
        <f>"23.533946"</f>
        <v>23.533946</v>
      </c>
      <c r="P19" t="s">
        <v>29</v>
      </c>
      <c r="Q19">
        <v>1</v>
      </c>
      <c r="R19">
        <v>566799</v>
      </c>
      <c r="S19">
        <v>33515141</v>
      </c>
      <c r="T19" t="s">
        <v>335</v>
      </c>
      <c r="U19" t="s">
        <v>46</v>
      </c>
    </row>
    <row r="20" spans="1:21" x14ac:dyDescent="0.25">
      <c r="A20" t="s">
        <v>187</v>
      </c>
      <c r="B20" t="s">
        <v>23</v>
      </c>
      <c r="C20" t="s">
        <v>40</v>
      </c>
      <c r="D20" t="str">
        <f>"9440250"</f>
        <v>9440250</v>
      </c>
      <c r="E20" t="s">
        <v>356</v>
      </c>
      <c r="F20">
        <v>6</v>
      </c>
      <c r="G20">
        <v>6</v>
      </c>
      <c r="H20">
        <v>2327041203</v>
      </c>
      <c r="I20">
        <v>2327041203</v>
      </c>
      <c r="J20" t="s">
        <v>357</v>
      </c>
      <c r="K20" t="s">
        <v>358</v>
      </c>
      <c r="L20" t="s">
        <v>359</v>
      </c>
      <c r="M20">
        <v>62055</v>
      </c>
      <c r="N20" t="str">
        <f>"41.216921"</f>
        <v>41.216921</v>
      </c>
      <c r="O20" t="str">
        <f>"23.084994"</f>
        <v>23.084994</v>
      </c>
      <c r="P20" t="s">
        <v>29</v>
      </c>
      <c r="Q20">
        <v>1</v>
      </c>
      <c r="R20">
        <v>616074</v>
      </c>
      <c r="S20">
        <v>73209710</v>
      </c>
      <c r="T20" t="s">
        <v>360</v>
      </c>
      <c r="U20" t="s">
        <v>95</v>
      </c>
    </row>
    <row r="21" spans="1:21" x14ac:dyDescent="0.25">
      <c r="A21" t="s">
        <v>230</v>
      </c>
      <c r="B21" t="s">
        <v>188</v>
      </c>
      <c r="C21" t="s">
        <v>40</v>
      </c>
      <c r="D21" t="str">
        <f>"9440343"</f>
        <v>9440343</v>
      </c>
      <c r="E21" t="s">
        <v>361</v>
      </c>
      <c r="F21">
        <v>6</v>
      </c>
      <c r="G21">
        <v>7</v>
      </c>
      <c r="H21">
        <v>2324071228</v>
      </c>
      <c r="I21">
        <v>2324071228</v>
      </c>
      <c r="J21" t="s">
        <v>362</v>
      </c>
      <c r="K21" t="s">
        <v>353</v>
      </c>
      <c r="L21" t="s">
        <v>363</v>
      </c>
      <c r="M21">
        <v>62041</v>
      </c>
      <c r="N21" t="str">
        <f>"40.919700"</f>
        <v>40.919700</v>
      </c>
      <c r="O21" t="str">
        <f>"23.970503"</f>
        <v>23.970503</v>
      </c>
      <c r="P21" t="s">
        <v>29</v>
      </c>
      <c r="Q21">
        <v>1</v>
      </c>
      <c r="R21">
        <v>556796</v>
      </c>
      <c r="S21">
        <v>31725947</v>
      </c>
      <c r="T21" t="s">
        <v>364</v>
      </c>
      <c r="U21" t="s">
        <v>46</v>
      </c>
    </row>
    <row r="22" spans="1:21" x14ac:dyDescent="0.25">
      <c r="A22" t="s">
        <v>34</v>
      </c>
      <c r="B22" t="s">
        <v>22</v>
      </c>
      <c r="C22" t="s">
        <v>40</v>
      </c>
      <c r="D22" t="str">
        <f>"9440370"</f>
        <v>9440370</v>
      </c>
      <c r="E22" t="s">
        <v>365</v>
      </c>
      <c r="F22">
        <v>10</v>
      </c>
      <c r="G22">
        <v>8</v>
      </c>
      <c r="H22">
        <v>2321023349</v>
      </c>
      <c r="I22">
        <v>2321023349</v>
      </c>
      <c r="J22" t="s">
        <v>366</v>
      </c>
      <c r="K22" t="s">
        <v>57</v>
      </c>
      <c r="L22" t="s">
        <v>367</v>
      </c>
      <c r="M22">
        <v>62100</v>
      </c>
      <c r="N22" t="str">
        <f>"41.090132"</f>
        <v>41.090132</v>
      </c>
      <c r="O22" t="str">
        <f>"23.586444"</f>
        <v>23.586444</v>
      </c>
      <c r="P22" t="s">
        <v>28</v>
      </c>
      <c r="R22">
        <v>203907</v>
      </c>
      <c r="S22">
        <v>37981991</v>
      </c>
      <c r="T22" t="s">
        <v>368</v>
      </c>
      <c r="U22" t="s">
        <v>369</v>
      </c>
    </row>
    <row r="23" spans="1:21" x14ac:dyDescent="0.25">
      <c r="A23" t="s">
        <v>230</v>
      </c>
      <c r="B23" t="s">
        <v>188</v>
      </c>
      <c r="C23" t="s">
        <v>40</v>
      </c>
      <c r="D23" t="str">
        <f>"9440331"</f>
        <v>9440331</v>
      </c>
      <c r="E23" t="s">
        <v>371</v>
      </c>
      <c r="F23">
        <v>6</v>
      </c>
      <c r="G23">
        <v>6</v>
      </c>
      <c r="H23">
        <v>2324081326</v>
      </c>
      <c r="I23">
        <v>2324081326</v>
      </c>
      <c r="J23" t="s">
        <v>372</v>
      </c>
      <c r="K23" t="s">
        <v>373</v>
      </c>
      <c r="L23" t="s">
        <v>374</v>
      </c>
      <c r="M23">
        <v>62047</v>
      </c>
      <c r="N23" t="str">
        <f>"40.989864"</f>
        <v>40.989864</v>
      </c>
      <c r="O23" t="str">
        <f>"24.020921"</f>
        <v>24.020921</v>
      </c>
      <c r="P23" t="s">
        <v>28</v>
      </c>
      <c r="R23">
        <v>594245</v>
      </c>
      <c r="S23">
        <v>49948360</v>
      </c>
      <c r="T23" t="s">
        <v>375</v>
      </c>
      <c r="U23" t="s">
        <v>46</v>
      </c>
    </row>
    <row r="24" spans="1:21" x14ac:dyDescent="0.25">
      <c r="A24" t="s">
        <v>187</v>
      </c>
      <c r="B24" t="s">
        <v>188</v>
      </c>
      <c r="C24" t="s">
        <v>40</v>
      </c>
      <c r="D24" t="str">
        <f>"9440336"</f>
        <v>9440336</v>
      </c>
      <c r="E24" t="s">
        <v>381</v>
      </c>
      <c r="F24">
        <v>6</v>
      </c>
      <c r="G24">
        <v>6</v>
      </c>
      <c r="H24">
        <v>2324093214</v>
      </c>
      <c r="I24">
        <v>2324093214</v>
      </c>
      <c r="J24" t="s">
        <v>382</v>
      </c>
      <c r="K24" t="s">
        <v>383</v>
      </c>
      <c r="L24" t="s">
        <v>192</v>
      </c>
      <c r="M24">
        <v>62041</v>
      </c>
      <c r="N24" t="str">
        <f>"40.876574"</f>
        <v>40.876574</v>
      </c>
      <c r="O24" t="str">
        <f>"23.903991"</f>
        <v>23.903991</v>
      </c>
      <c r="P24" t="s">
        <v>28</v>
      </c>
      <c r="R24">
        <v>599800</v>
      </c>
      <c r="S24">
        <v>50879898</v>
      </c>
      <c r="T24" t="s">
        <v>384</v>
      </c>
      <c r="U24" t="s">
        <v>46</v>
      </c>
    </row>
    <row r="25" spans="1:21" x14ac:dyDescent="0.25">
      <c r="A25" t="s">
        <v>21</v>
      </c>
      <c r="B25" t="s">
        <v>188</v>
      </c>
      <c r="C25" t="s">
        <v>40</v>
      </c>
      <c r="D25" t="str">
        <f>"9440041"</f>
        <v>9440041</v>
      </c>
      <c r="E25" t="s">
        <v>417</v>
      </c>
      <c r="F25">
        <v>2</v>
      </c>
      <c r="G25">
        <v>2</v>
      </c>
      <c r="H25">
        <v>2322032211</v>
      </c>
      <c r="I25">
        <v>2322032211</v>
      </c>
      <c r="J25" t="s">
        <v>418</v>
      </c>
      <c r="K25" t="s">
        <v>419</v>
      </c>
      <c r="L25" t="s">
        <v>419</v>
      </c>
      <c r="M25">
        <v>62041</v>
      </c>
      <c r="N25" t="str">
        <f>"40.795012"</f>
        <v>40.795012</v>
      </c>
      <c r="O25" t="str">
        <f>"23.840008"</f>
        <v>23.840008</v>
      </c>
      <c r="P25" t="s">
        <v>28</v>
      </c>
      <c r="R25">
        <v>617156</v>
      </c>
      <c r="S25">
        <v>63009925</v>
      </c>
      <c r="T25" t="s">
        <v>420</v>
      </c>
      <c r="U25" t="s">
        <v>46</v>
      </c>
    </row>
    <row r="26" spans="1:21" x14ac:dyDescent="0.25">
      <c r="A26" t="s">
        <v>230</v>
      </c>
      <c r="B26" t="s">
        <v>200</v>
      </c>
      <c r="C26" t="s">
        <v>40</v>
      </c>
      <c r="D26" t="str">
        <f>"9440039"</f>
        <v>9440039</v>
      </c>
      <c r="E26" t="s">
        <v>421</v>
      </c>
      <c r="F26">
        <v>7</v>
      </c>
      <c r="G26">
        <v>12</v>
      </c>
      <c r="H26">
        <v>2322031219</v>
      </c>
      <c r="I26">
        <v>2322020199</v>
      </c>
      <c r="J26" t="s">
        <v>422</v>
      </c>
      <c r="K26" t="s">
        <v>423</v>
      </c>
      <c r="L26" t="s">
        <v>250</v>
      </c>
      <c r="M26">
        <v>62049</v>
      </c>
      <c r="N26" t="str">
        <f>"40.895485"</f>
        <v>40.895485</v>
      </c>
      <c r="O26" t="str">
        <f>"23.752725"</f>
        <v>23.752725</v>
      </c>
      <c r="P26" t="s">
        <v>29</v>
      </c>
      <c r="Q26">
        <v>1</v>
      </c>
      <c r="R26">
        <v>560865</v>
      </c>
      <c r="S26">
        <v>109052458</v>
      </c>
      <c r="T26" t="s">
        <v>424</v>
      </c>
      <c r="U26" t="s">
        <v>60</v>
      </c>
    </row>
    <row r="27" spans="1:21" x14ac:dyDescent="0.25">
      <c r="A27" t="s">
        <v>34</v>
      </c>
      <c r="B27" t="s">
        <v>22</v>
      </c>
      <c r="C27" t="s">
        <v>40</v>
      </c>
      <c r="D27" t="str">
        <f>"9440148"</f>
        <v>9440148</v>
      </c>
      <c r="E27" t="s">
        <v>430</v>
      </c>
      <c r="F27">
        <v>8</v>
      </c>
      <c r="G27">
        <v>8</v>
      </c>
      <c r="H27">
        <v>2321045576</v>
      </c>
      <c r="I27">
        <v>2321045576</v>
      </c>
      <c r="J27" t="s">
        <v>431</v>
      </c>
      <c r="K27" t="s">
        <v>57</v>
      </c>
      <c r="L27" t="s">
        <v>432</v>
      </c>
      <c r="M27">
        <v>62125</v>
      </c>
      <c r="N27" t="str">
        <f>"41.081654"</f>
        <v>41.081654</v>
      </c>
      <c r="O27" t="str">
        <f>"23.532361"</f>
        <v>23.532361</v>
      </c>
      <c r="P27" t="s">
        <v>28</v>
      </c>
      <c r="R27">
        <v>574904</v>
      </c>
      <c r="S27">
        <v>34431860</v>
      </c>
      <c r="T27" t="s">
        <v>433</v>
      </c>
      <c r="U27" t="s">
        <v>46</v>
      </c>
    </row>
    <row r="28" spans="1:21" x14ac:dyDescent="0.25">
      <c r="A28" t="s">
        <v>199</v>
      </c>
      <c r="B28" t="s">
        <v>200</v>
      </c>
      <c r="C28" t="s">
        <v>40</v>
      </c>
      <c r="D28" t="str">
        <f>"9440048"</f>
        <v>9440048</v>
      </c>
      <c r="E28" t="s">
        <v>458</v>
      </c>
      <c r="F28">
        <v>6</v>
      </c>
      <c r="G28">
        <v>6</v>
      </c>
      <c r="H28">
        <v>2322051204</v>
      </c>
      <c r="I28">
        <v>2322051204</v>
      </c>
      <c r="J28" t="s">
        <v>459</v>
      </c>
      <c r="K28" t="s">
        <v>203</v>
      </c>
      <c r="L28" t="s">
        <v>204</v>
      </c>
      <c r="M28">
        <v>62200</v>
      </c>
      <c r="N28" t="str">
        <f>"40.883233"</f>
        <v>40.883233</v>
      </c>
      <c r="O28" t="str">
        <f>"23.620204"</f>
        <v>23.620204</v>
      </c>
      <c r="P28" t="s">
        <v>29</v>
      </c>
      <c r="R28">
        <v>591007</v>
      </c>
      <c r="S28">
        <v>54445172</v>
      </c>
      <c r="T28" t="s">
        <v>460</v>
      </c>
      <c r="U28" t="s">
        <v>60</v>
      </c>
    </row>
    <row r="29" spans="1:21" x14ac:dyDescent="0.25">
      <c r="A29" t="s">
        <v>33</v>
      </c>
      <c r="B29" t="s">
        <v>23</v>
      </c>
      <c r="C29" t="s">
        <v>40</v>
      </c>
      <c r="D29" t="str">
        <f>"9440201"</f>
        <v>9440201</v>
      </c>
      <c r="E29" t="s">
        <v>519</v>
      </c>
      <c r="F29">
        <v>4</v>
      </c>
      <c r="G29">
        <v>6</v>
      </c>
      <c r="H29">
        <v>2323051428</v>
      </c>
      <c r="I29">
        <v>2321051428</v>
      </c>
      <c r="J29" t="s">
        <v>520</v>
      </c>
      <c r="K29" t="s">
        <v>521</v>
      </c>
      <c r="L29" t="s">
        <v>293</v>
      </c>
      <c r="M29">
        <v>62300</v>
      </c>
      <c r="N29" t="str">
        <f>"41.178917"</f>
        <v>41.178917</v>
      </c>
      <c r="O29" t="str">
        <f>"23.394483"</f>
        <v>23.394483</v>
      </c>
      <c r="P29" t="s">
        <v>28</v>
      </c>
      <c r="R29">
        <v>553914</v>
      </c>
      <c r="S29">
        <v>30547606</v>
      </c>
      <c r="T29" t="s">
        <v>522</v>
      </c>
      <c r="U29" t="s">
        <v>60</v>
      </c>
    </row>
    <row r="30" spans="1:21" x14ac:dyDescent="0.25">
      <c r="A30" t="s">
        <v>65</v>
      </c>
      <c r="B30" t="s">
        <v>80</v>
      </c>
      <c r="C30" t="s">
        <v>40</v>
      </c>
      <c r="D30" t="str">
        <f>"9440110"</f>
        <v>9440110</v>
      </c>
      <c r="E30" t="s">
        <v>530</v>
      </c>
      <c r="F30">
        <v>6</v>
      </c>
      <c r="G30">
        <v>7</v>
      </c>
      <c r="H30">
        <v>2321031201</v>
      </c>
      <c r="I30">
        <v>2321031201</v>
      </c>
      <c r="J30" t="s">
        <v>531</v>
      </c>
      <c r="K30" t="s">
        <v>532</v>
      </c>
      <c r="L30" t="s">
        <v>533</v>
      </c>
      <c r="M30">
        <v>62044</v>
      </c>
      <c r="N30" t="str">
        <f>"41.024796"</f>
        <v>41.024796</v>
      </c>
      <c r="O30" t="str">
        <f>"23.609829"</f>
        <v>23.609829</v>
      </c>
      <c r="P30" t="s">
        <v>29</v>
      </c>
      <c r="R30">
        <v>588857</v>
      </c>
      <c r="S30">
        <v>53605309</v>
      </c>
      <c r="T30" t="s">
        <v>534</v>
      </c>
      <c r="U30" t="s">
        <v>46</v>
      </c>
    </row>
    <row r="31" spans="1:21" x14ac:dyDescent="0.25">
      <c r="A31" t="s">
        <v>199</v>
      </c>
      <c r="B31" t="s">
        <v>23</v>
      </c>
      <c r="C31" t="s">
        <v>40</v>
      </c>
      <c r="D31" t="str">
        <f>"9440234"</f>
        <v>9440234</v>
      </c>
      <c r="E31" t="s">
        <v>542</v>
      </c>
      <c r="F31">
        <v>6</v>
      </c>
      <c r="G31">
        <v>6</v>
      </c>
      <c r="H31">
        <v>2323031326</v>
      </c>
      <c r="I31">
        <v>2323031326</v>
      </c>
      <c r="J31" t="s">
        <v>543</v>
      </c>
      <c r="K31" t="s">
        <v>544</v>
      </c>
      <c r="L31" t="s">
        <v>278</v>
      </c>
      <c r="M31">
        <v>62043</v>
      </c>
      <c r="N31" t="str">
        <f>"41.264606"</f>
        <v>41.264606</v>
      </c>
      <c r="O31" t="str">
        <f>"23.254717"</f>
        <v>23.254717</v>
      </c>
      <c r="P31" t="s">
        <v>28</v>
      </c>
      <c r="R31">
        <v>607163</v>
      </c>
      <c r="S31">
        <v>64143860</v>
      </c>
      <c r="T31" t="s">
        <v>545</v>
      </c>
      <c r="U31" t="s">
        <v>95</v>
      </c>
    </row>
    <row r="32" spans="1:21" x14ac:dyDescent="0.25">
      <c r="A32" t="s">
        <v>33</v>
      </c>
      <c r="B32" t="s">
        <v>23</v>
      </c>
      <c r="C32" t="s">
        <v>40</v>
      </c>
      <c r="D32" t="str">
        <f>"9440213"</f>
        <v>9440213</v>
      </c>
      <c r="E32" t="s">
        <v>546</v>
      </c>
      <c r="F32">
        <v>6</v>
      </c>
      <c r="G32">
        <v>6</v>
      </c>
      <c r="H32">
        <v>2323022416</v>
      </c>
      <c r="I32">
        <v>2323022416</v>
      </c>
      <c r="J32" t="s">
        <v>547</v>
      </c>
      <c r="K32" t="s">
        <v>409</v>
      </c>
      <c r="L32" t="s">
        <v>548</v>
      </c>
      <c r="M32">
        <v>62300</v>
      </c>
      <c r="N32" t="str">
        <f>"41.233551"</f>
        <v>41.233551</v>
      </c>
      <c r="O32" t="str">
        <f>"23.383524"</f>
        <v>23.383524</v>
      </c>
      <c r="P32" t="s">
        <v>28</v>
      </c>
      <c r="R32">
        <v>574919</v>
      </c>
      <c r="S32">
        <v>33214946</v>
      </c>
      <c r="T32" t="s">
        <v>549</v>
      </c>
      <c r="U32" t="s">
        <v>95</v>
      </c>
    </row>
    <row r="33" spans="1:21" x14ac:dyDescent="0.25">
      <c r="A33" t="s">
        <v>199</v>
      </c>
      <c r="B33" t="s">
        <v>23</v>
      </c>
      <c r="C33" t="s">
        <v>40</v>
      </c>
      <c r="D33" t="str">
        <f>"9440266"</f>
        <v>9440266</v>
      </c>
      <c r="E33" t="s">
        <v>550</v>
      </c>
      <c r="F33">
        <v>6</v>
      </c>
      <c r="G33">
        <v>7</v>
      </c>
      <c r="H33">
        <v>2323031227</v>
      </c>
      <c r="I33">
        <v>2323031227</v>
      </c>
      <c r="J33" t="s">
        <v>551</v>
      </c>
      <c r="K33" t="s">
        <v>552</v>
      </c>
      <c r="L33" t="s">
        <v>553</v>
      </c>
      <c r="M33">
        <v>62043</v>
      </c>
      <c r="N33" t="str">
        <f>"41.272893"</f>
        <v>41.272893</v>
      </c>
      <c r="O33" t="str">
        <f>"23.294874"</f>
        <v>23.294874</v>
      </c>
      <c r="P33" t="s">
        <v>29</v>
      </c>
      <c r="Q33">
        <v>1</v>
      </c>
      <c r="R33">
        <v>582099</v>
      </c>
      <c r="S33">
        <v>100306760</v>
      </c>
      <c r="T33" t="s">
        <v>554</v>
      </c>
      <c r="U33" t="s">
        <v>95</v>
      </c>
    </row>
    <row r="34" spans="1:21" x14ac:dyDescent="0.25">
      <c r="A34" t="s">
        <v>230</v>
      </c>
      <c r="B34" t="s">
        <v>231</v>
      </c>
      <c r="C34" t="s">
        <v>40</v>
      </c>
      <c r="D34" t="str">
        <f>"9440307"</f>
        <v>9440307</v>
      </c>
      <c r="E34" t="s">
        <v>555</v>
      </c>
      <c r="F34">
        <v>6</v>
      </c>
      <c r="G34">
        <v>6</v>
      </c>
      <c r="H34">
        <v>2324051207</v>
      </c>
      <c r="I34">
        <v>2324051207</v>
      </c>
      <c r="J34" t="s">
        <v>556</v>
      </c>
      <c r="L34" t="s">
        <v>235</v>
      </c>
      <c r="M34">
        <v>62052</v>
      </c>
      <c r="N34" t="str">
        <f>"40.925891"</f>
        <v>40.925891</v>
      </c>
      <c r="O34" t="str">
        <f>"23.870441"</f>
        <v>23.870441</v>
      </c>
      <c r="P34" t="s">
        <v>29</v>
      </c>
      <c r="R34">
        <v>566082</v>
      </c>
      <c r="S34">
        <v>35436409</v>
      </c>
      <c r="T34" t="s">
        <v>557</v>
      </c>
      <c r="U34" t="s">
        <v>46</v>
      </c>
    </row>
    <row r="35" spans="1:21" x14ac:dyDescent="0.25">
      <c r="A35" t="s">
        <v>65</v>
      </c>
      <c r="B35" t="s">
        <v>80</v>
      </c>
      <c r="C35" t="s">
        <v>40</v>
      </c>
      <c r="D35" t="str">
        <f>"9440112"</f>
        <v>9440112</v>
      </c>
      <c r="E35" t="s">
        <v>558</v>
      </c>
      <c r="F35">
        <v>6</v>
      </c>
      <c r="G35">
        <v>7</v>
      </c>
      <c r="H35">
        <v>2321091250</v>
      </c>
      <c r="I35">
        <v>2321091275</v>
      </c>
      <c r="J35" t="s">
        <v>559</v>
      </c>
      <c r="K35" t="s">
        <v>560</v>
      </c>
      <c r="L35" t="s">
        <v>561</v>
      </c>
      <c r="M35">
        <v>62100</v>
      </c>
      <c r="N35" t="str">
        <f>"41.092652"</f>
        <v>41.092652</v>
      </c>
      <c r="O35" t="str">
        <f>"23.641126"</f>
        <v>23.641126</v>
      </c>
      <c r="P35" t="s">
        <v>29</v>
      </c>
      <c r="Q35">
        <v>1</v>
      </c>
      <c r="R35">
        <v>585637</v>
      </c>
      <c r="S35">
        <v>38025988</v>
      </c>
      <c r="T35" t="s">
        <v>562</v>
      </c>
      <c r="U35" t="s">
        <v>46</v>
      </c>
    </row>
    <row r="36" spans="1:21" x14ac:dyDescent="0.25">
      <c r="A36" t="s">
        <v>65</v>
      </c>
      <c r="B36" t="s">
        <v>80</v>
      </c>
      <c r="C36" t="s">
        <v>40</v>
      </c>
      <c r="D36" t="str">
        <f>"9440095"</f>
        <v>9440095</v>
      </c>
      <c r="E36" t="s">
        <v>564</v>
      </c>
      <c r="F36">
        <v>5</v>
      </c>
      <c r="G36">
        <v>4</v>
      </c>
      <c r="H36">
        <v>2321031488</v>
      </c>
      <c r="I36">
        <v>2321032597</v>
      </c>
      <c r="J36" t="s">
        <v>565</v>
      </c>
      <c r="K36" t="s">
        <v>566</v>
      </c>
      <c r="L36" t="s">
        <v>566</v>
      </c>
      <c r="M36">
        <v>62100</v>
      </c>
      <c r="N36" t="str">
        <f>"40.992583"</f>
        <v>40.992583</v>
      </c>
      <c r="O36" t="str">
        <f>"23.596956"</f>
        <v>23.596956</v>
      </c>
      <c r="P36" t="s">
        <v>28</v>
      </c>
      <c r="R36">
        <v>581475</v>
      </c>
      <c r="S36">
        <v>37630091</v>
      </c>
      <c r="T36" t="s">
        <v>567</v>
      </c>
      <c r="U36" t="s">
        <v>46</v>
      </c>
    </row>
    <row r="37" spans="1:21" x14ac:dyDescent="0.25">
      <c r="A37" t="s">
        <v>65</v>
      </c>
      <c r="B37" t="s">
        <v>80</v>
      </c>
      <c r="C37" t="s">
        <v>40</v>
      </c>
      <c r="D37" t="str">
        <f>"9440114"</f>
        <v>9440114</v>
      </c>
      <c r="E37" t="s">
        <v>569</v>
      </c>
      <c r="F37">
        <v>6</v>
      </c>
      <c r="G37">
        <v>6</v>
      </c>
      <c r="H37">
        <v>2321076474</v>
      </c>
      <c r="I37">
        <v>2321076474</v>
      </c>
      <c r="J37" t="s">
        <v>570</v>
      </c>
      <c r="K37" t="s">
        <v>571</v>
      </c>
      <c r="L37" t="s">
        <v>89</v>
      </c>
      <c r="M37">
        <v>62100</v>
      </c>
      <c r="N37" t="str">
        <f>"41.053368"</f>
        <v>41.053368</v>
      </c>
      <c r="O37" t="str">
        <f>"23.580783"</f>
        <v>23.580783</v>
      </c>
      <c r="P37" t="s">
        <v>28</v>
      </c>
      <c r="R37">
        <v>566900</v>
      </c>
      <c r="S37">
        <v>39984595</v>
      </c>
      <c r="T37" t="s">
        <v>572</v>
      </c>
      <c r="U37" t="s">
        <v>46</v>
      </c>
    </row>
    <row r="38" spans="1:21" x14ac:dyDescent="0.25">
      <c r="A38" t="s">
        <v>34</v>
      </c>
      <c r="B38" t="s">
        <v>22</v>
      </c>
      <c r="C38" t="s">
        <v>40</v>
      </c>
      <c r="D38" t="str">
        <f>"9440149"</f>
        <v>9440149</v>
      </c>
      <c r="E38" t="s">
        <v>573</v>
      </c>
      <c r="F38">
        <v>11</v>
      </c>
      <c r="G38">
        <v>12</v>
      </c>
      <c r="H38">
        <v>2321038710</v>
      </c>
      <c r="I38">
        <v>2321038710</v>
      </c>
      <c r="J38" t="s">
        <v>574</v>
      </c>
      <c r="K38" t="s">
        <v>57</v>
      </c>
      <c r="L38" t="s">
        <v>575</v>
      </c>
      <c r="M38">
        <v>62125</v>
      </c>
      <c r="N38" t="str">
        <f>"41.082691"</f>
        <v>41.082691</v>
      </c>
      <c r="O38" t="str">
        <f>"23.536242"</f>
        <v>23.536242</v>
      </c>
      <c r="P38" t="s">
        <v>29</v>
      </c>
      <c r="Q38">
        <v>2</v>
      </c>
      <c r="R38">
        <v>554107</v>
      </c>
      <c r="S38">
        <v>30695209</v>
      </c>
      <c r="T38" t="s">
        <v>576</v>
      </c>
      <c r="U38" t="s">
        <v>46</v>
      </c>
    </row>
    <row r="39" spans="1:21" x14ac:dyDescent="0.25">
      <c r="A39" t="s">
        <v>33</v>
      </c>
      <c r="B39" t="s">
        <v>231</v>
      </c>
      <c r="C39" t="s">
        <v>40</v>
      </c>
      <c r="D39" t="str">
        <f>"9440300"</f>
        <v>9440300</v>
      </c>
      <c r="E39" t="s">
        <v>577</v>
      </c>
      <c r="F39">
        <v>6</v>
      </c>
      <c r="G39">
        <v>6</v>
      </c>
      <c r="H39">
        <v>2324041241</v>
      </c>
      <c r="I39">
        <v>2324020524</v>
      </c>
      <c r="J39" t="s">
        <v>578</v>
      </c>
      <c r="K39" t="s">
        <v>579</v>
      </c>
      <c r="L39" t="s">
        <v>319</v>
      </c>
      <c r="M39">
        <v>62042</v>
      </c>
      <c r="N39" t="str">
        <f>"41.023524"</f>
        <v>41.023524</v>
      </c>
      <c r="O39" t="str">
        <f>"23.773087"</f>
        <v>23.773087</v>
      </c>
      <c r="P39" t="s">
        <v>28</v>
      </c>
      <c r="R39">
        <v>554072</v>
      </c>
      <c r="S39">
        <v>29745459</v>
      </c>
      <c r="T39" t="s">
        <v>580</v>
      </c>
      <c r="U39" t="s">
        <v>46</v>
      </c>
    </row>
    <row r="40" spans="1:21" x14ac:dyDescent="0.25">
      <c r="A40" t="s">
        <v>34</v>
      </c>
      <c r="B40" t="s">
        <v>22</v>
      </c>
      <c r="C40" t="s">
        <v>40</v>
      </c>
      <c r="D40" t="str">
        <f>"9440150"</f>
        <v>9440150</v>
      </c>
      <c r="E40" t="s">
        <v>581</v>
      </c>
      <c r="F40">
        <v>9</v>
      </c>
      <c r="G40">
        <v>12</v>
      </c>
      <c r="H40">
        <v>2321023660</v>
      </c>
      <c r="I40">
        <v>2321024878</v>
      </c>
      <c r="J40" t="s">
        <v>582</v>
      </c>
      <c r="K40" t="s">
        <v>57</v>
      </c>
      <c r="L40" t="s">
        <v>125</v>
      </c>
      <c r="M40">
        <v>62121</v>
      </c>
      <c r="N40" t="str">
        <f>"41.091038"</f>
        <v>41.091038</v>
      </c>
      <c r="O40" t="str">
        <f>"23.544272"</f>
        <v>23.544272</v>
      </c>
      <c r="P40" t="s">
        <v>29</v>
      </c>
      <c r="Q40">
        <v>1</v>
      </c>
      <c r="R40">
        <v>558292</v>
      </c>
      <c r="S40">
        <v>30470950</v>
      </c>
      <c r="T40" t="s">
        <v>583</v>
      </c>
      <c r="U40" t="s">
        <v>46</v>
      </c>
    </row>
    <row r="41" spans="1:21" x14ac:dyDescent="0.25">
      <c r="A41" t="s">
        <v>34</v>
      </c>
      <c r="B41" t="s">
        <v>22</v>
      </c>
      <c r="C41" t="s">
        <v>40</v>
      </c>
      <c r="D41" t="str">
        <f>"9440147"</f>
        <v>9440147</v>
      </c>
      <c r="E41" t="s">
        <v>588</v>
      </c>
      <c r="F41">
        <v>11</v>
      </c>
      <c r="G41">
        <v>10</v>
      </c>
      <c r="H41">
        <v>2321022115</v>
      </c>
      <c r="I41">
        <v>2321099612</v>
      </c>
      <c r="J41" t="s">
        <v>589</v>
      </c>
      <c r="K41" t="s">
        <v>57</v>
      </c>
      <c r="L41" t="s">
        <v>590</v>
      </c>
      <c r="M41">
        <v>62121</v>
      </c>
      <c r="N41" t="str">
        <f>"41.087037"</f>
        <v>41.087037</v>
      </c>
      <c r="O41" t="str">
        <f>"23.535766"</f>
        <v>23.535766</v>
      </c>
      <c r="P41" t="s">
        <v>28</v>
      </c>
      <c r="R41">
        <v>591066</v>
      </c>
      <c r="S41">
        <v>44812130</v>
      </c>
      <c r="T41" t="s">
        <v>591</v>
      </c>
      <c r="U41" t="s">
        <v>46</v>
      </c>
    </row>
    <row r="42" spans="1:21" x14ac:dyDescent="0.25">
      <c r="A42" t="s">
        <v>34</v>
      </c>
      <c r="B42" t="s">
        <v>22</v>
      </c>
      <c r="C42" t="s">
        <v>40</v>
      </c>
      <c r="D42" t="str">
        <f>"9440418"</f>
        <v>9440418</v>
      </c>
      <c r="E42" t="s">
        <v>596</v>
      </c>
      <c r="F42">
        <v>6</v>
      </c>
      <c r="G42">
        <v>7</v>
      </c>
      <c r="H42">
        <v>2321021485</v>
      </c>
      <c r="I42">
        <v>2321024878</v>
      </c>
      <c r="J42" t="s">
        <v>597</v>
      </c>
      <c r="K42" t="s">
        <v>57</v>
      </c>
      <c r="L42" t="s">
        <v>125</v>
      </c>
      <c r="M42">
        <v>62121</v>
      </c>
      <c r="N42" t="str">
        <f>"41.091055"</f>
        <v>41.091055</v>
      </c>
      <c r="O42" t="str">
        <f>"23.544407"</f>
        <v>23.544407</v>
      </c>
      <c r="P42" t="s">
        <v>28</v>
      </c>
      <c r="U42" t="s">
        <v>46</v>
      </c>
    </row>
    <row r="43" spans="1:21" x14ac:dyDescent="0.25">
      <c r="A43" t="s">
        <v>230</v>
      </c>
      <c r="B43" t="s">
        <v>231</v>
      </c>
      <c r="C43" t="s">
        <v>40</v>
      </c>
      <c r="D43" t="str">
        <f>"9440294"</f>
        <v>9440294</v>
      </c>
      <c r="E43" t="s">
        <v>598</v>
      </c>
      <c r="F43">
        <v>6</v>
      </c>
      <c r="G43">
        <v>9</v>
      </c>
      <c r="H43">
        <v>2324031224</v>
      </c>
      <c r="I43">
        <v>2324031224</v>
      </c>
      <c r="J43" t="s">
        <v>599</v>
      </c>
      <c r="K43" t="s">
        <v>600</v>
      </c>
      <c r="L43" t="s">
        <v>600</v>
      </c>
      <c r="M43">
        <v>62045</v>
      </c>
      <c r="N43" t="str">
        <f>"41.065408"</f>
        <v>41.065408</v>
      </c>
      <c r="O43" t="str">
        <f>"23.954756"</f>
        <v>23.954756</v>
      </c>
      <c r="P43" t="s">
        <v>28</v>
      </c>
      <c r="R43">
        <v>582214</v>
      </c>
      <c r="S43">
        <v>52556510</v>
      </c>
      <c r="T43" t="s">
        <v>601</v>
      </c>
      <c r="U43" t="s">
        <v>46</v>
      </c>
    </row>
    <row r="44" spans="1:21" x14ac:dyDescent="0.25">
      <c r="A44" t="s">
        <v>230</v>
      </c>
      <c r="B44" t="s">
        <v>188</v>
      </c>
      <c r="C44" t="s">
        <v>40</v>
      </c>
      <c r="D44" t="str">
        <f>"9440340"</f>
        <v>9440340</v>
      </c>
      <c r="E44" t="s">
        <v>602</v>
      </c>
      <c r="F44">
        <v>4</v>
      </c>
      <c r="G44">
        <v>6</v>
      </c>
      <c r="H44">
        <v>2324061218</v>
      </c>
      <c r="I44">
        <v>2324061432</v>
      </c>
      <c r="J44" t="s">
        <v>603</v>
      </c>
      <c r="K44" t="s">
        <v>604</v>
      </c>
      <c r="L44" t="s">
        <v>464</v>
      </c>
      <c r="M44">
        <v>62047</v>
      </c>
      <c r="N44" t="str">
        <f>"40.948073"</f>
        <v>40.948073</v>
      </c>
      <c r="O44" t="str">
        <f>"24.002817"</f>
        <v>24.002817</v>
      </c>
      <c r="P44" t="s">
        <v>28</v>
      </c>
      <c r="R44">
        <v>594687</v>
      </c>
      <c r="S44">
        <v>77445390</v>
      </c>
      <c r="T44" t="s">
        <v>605</v>
      </c>
      <c r="U44" t="s">
        <v>46</v>
      </c>
    </row>
    <row r="45" spans="1:21" x14ac:dyDescent="0.25">
      <c r="A45" t="s">
        <v>34</v>
      </c>
      <c r="B45" t="s">
        <v>22</v>
      </c>
      <c r="C45" t="s">
        <v>40</v>
      </c>
      <c r="D45" t="str">
        <f>"9440153"</f>
        <v>9440153</v>
      </c>
      <c r="E45" t="s">
        <v>611</v>
      </c>
      <c r="F45">
        <v>6</v>
      </c>
      <c r="G45">
        <v>7</v>
      </c>
      <c r="H45">
        <v>2321022015</v>
      </c>
      <c r="I45">
        <v>2321022058</v>
      </c>
      <c r="J45" t="s">
        <v>612</v>
      </c>
      <c r="K45" t="s">
        <v>57</v>
      </c>
      <c r="L45" t="s">
        <v>98</v>
      </c>
      <c r="M45">
        <v>62121</v>
      </c>
      <c r="N45" t="str">
        <f>"41.092353"</f>
        <v>41.092353</v>
      </c>
      <c r="O45" t="str">
        <f>"23.546375"</f>
        <v>23.546375</v>
      </c>
      <c r="P45" t="s">
        <v>28</v>
      </c>
      <c r="R45">
        <v>555498</v>
      </c>
      <c r="S45">
        <v>33040259</v>
      </c>
      <c r="T45" t="s">
        <v>613</v>
      </c>
      <c r="U45" t="s">
        <v>60</v>
      </c>
    </row>
    <row r="46" spans="1:21" x14ac:dyDescent="0.25">
      <c r="A46" t="s">
        <v>21</v>
      </c>
      <c r="B46" t="s">
        <v>23</v>
      </c>
      <c r="C46" t="s">
        <v>40</v>
      </c>
      <c r="D46" t="str">
        <f>"9440276"</f>
        <v>9440276</v>
      </c>
      <c r="E46" t="s">
        <v>614</v>
      </c>
      <c r="F46">
        <v>6</v>
      </c>
      <c r="G46">
        <v>6</v>
      </c>
      <c r="H46">
        <v>2327022259</v>
      </c>
      <c r="I46">
        <v>2327022259</v>
      </c>
      <c r="J46" t="s">
        <v>615</v>
      </c>
      <c r="K46" t="s">
        <v>616</v>
      </c>
      <c r="L46" t="s">
        <v>405</v>
      </c>
      <c r="M46">
        <v>62055</v>
      </c>
      <c r="N46" t="str">
        <f>"41.261187"</f>
        <v>41.261187</v>
      </c>
      <c r="O46" t="str">
        <f>"23.000946"</f>
        <v>23.000946</v>
      </c>
      <c r="P46" t="s">
        <v>28</v>
      </c>
      <c r="R46">
        <v>549399</v>
      </c>
      <c r="S46">
        <v>27293977</v>
      </c>
      <c r="T46" t="s">
        <v>617</v>
      </c>
      <c r="U46" t="s">
        <v>95</v>
      </c>
    </row>
    <row r="47" spans="1:21" x14ac:dyDescent="0.25">
      <c r="A47" t="s">
        <v>34</v>
      </c>
      <c r="B47" t="s">
        <v>22</v>
      </c>
      <c r="C47" t="s">
        <v>40</v>
      </c>
      <c r="D47" t="str">
        <f>"9440080"</f>
        <v>9440080</v>
      </c>
      <c r="E47" t="s">
        <v>618</v>
      </c>
      <c r="F47">
        <v>10</v>
      </c>
      <c r="G47">
        <v>9</v>
      </c>
      <c r="H47">
        <v>2321020931</v>
      </c>
      <c r="I47">
        <v>2321020919</v>
      </c>
      <c r="J47" t="s">
        <v>619</v>
      </c>
      <c r="K47" t="s">
        <v>57</v>
      </c>
      <c r="L47" t="s">
        <v>620</v>
      </c>
      <c r="M47">
        <v>62122</v>
      </c>
      <c r="N47" t="str">
        <f>"41.096124"</f>
        <v>41.096124</v>
      </c>
      <c r="O47" t="str">
        <f>"23.566765"</f>
        <v>23.566765</v>
      </c>
      <c r="P47" t="s">
        <v>29</v>
      </c>
      <c r="Q47">
        <v>2</v>
      </c>
      <c r="R47">
        <v>591097</v>
      </c>
      <c r="S47">
        <v>45201813</v>
      </c>
      <c r="T47" t="s">
        <v>621</v>
      </c>
      <c r="U47" t="s">
        <v>95</v>
      </c>
    </row>
    <row r="48" spans="1:21" x14ac:dyDescent="0.25">
      <c r="A48" t="s">
        <v>34</v>
      </c>
      <c r="B48" t="s">
        <v>22</v>
      </c>
      <c r="C48" t="s">
        <v>40</v>
      </c>
      <c r="D48" t="str">
        <f>"9440085"</f>
        <v>9440085</v>
      </c>
      <c r="E48" t="s">
        <v>622</v>
      </c>
      <c r="F48">
        <v>10</v>
      </c>
      <c r="G48">
        <v>12</v>
      </c>
      <c r="H48">
        <v>2321025105</v>
      </c>
      <c r="I48">
        <v>2321097663</v>
      </c>
      <c r="J48" t="s">
        <v>623</v>
      </c>
      <c r="K48" t="s">
        <v>57</v>
      </c>
      <c r="L48" t="s">
        <v>624</v>
      </c>
      <c r="M48">
        <v>62124</v>
      </c>
      <c r="N48" t="str">
        <f>"41.088027"</f>
        <v>41.088027</v>
      </c>
      <c r="O48" t="str">
        <f>"23.560265"</f>
        <v>23.560265</v>
      </c>
      <c r="P48" t="s">
        <v>28</v>
      </c>
      <c r="R48">
        <v>568746</v>
      </c>
      <c r="S48">
        <v>34278270</v>
      </c>
      <c r="T48" t="s">
        <v>625</v>
      </c>
      <c r="U48" t="s">
        <v>60</v>
      </c>
    </row>
    <row r="49" spans="1:21" x14ac:dyDescent="0.25">
      <c r="A49" t="s">
        <v>33</v>
      </c>
      <c r="B49" t="s">
        <v>23</v>
      </c>
      <c r="C49" t="s">
        <v>40</v>
      </c>
      <c r="D49" t="str">
        <f>"9440211"</f>
        <v>9440211</v>
      </c>
      <c r="E49" t="s">
        <v>626</v>
      </c>
      <c r="F49">
        <v>6</v>
      </c>
      <c r="G49">
        <v>6</v>
      </c>
      <c r="H49">
        <v>2323022461</v>
      </c>
      <c r="I49">
        <v>2323022461</v>
      </c>
      <c r="J49" t="s">
        <v>627</v>
      </c>
      <c r="K49" t="s">
        <v>409</v>
      </c>
      <c r="L49" t="s">
        <v>628</v>
      </c>
      <c r="M49">
        <v>62300</v>
      </c>
      <c r="N49" t="str">
        <f>"41.241553"</f>
        <v>41.241553</v>
      </c>
      <c r="O49" t="str">
        <f>"23.390650"</f>
        <v>23.390650</v>
      </c>
      <c r="P49" t="s">
        <v>29</v>
      </c>
      <c r="Q49">
        <v>1</v>
      </c>
      <c r="R49">
        <v>601150</v>
      </c>
      <c r="S49">
        <v>43986026</v>
      </c>
      <c r="T49" t="s">
        <v>629</v>
      </c>
      <c r="U49" t="s">
        <v>95</v>
      </c>
    </row>
    <row r="50" spans="1:21" x14ac:dyDescent="0.25">
      <c r="A50" t="s">
        <v>259</v>
      </c>
      <c r="B50" t="s">
        <v>23</v>
      </c>
      <c r="C50" t="s">
        <v>40</v>
      </c>
      <c r="D50" t="str">
        <f>"9440230"</f>
        <v>9440230</v>
      </c>
      <c r="E50" t="s">
        <v>630</v>
      </c>
      <c r="F50">
        <v>2</v>
      </c>
      <c r="G50">
        <v>2</v>
      </c>
      <c r="H50">
        <v>2323061201</v>
      </c>
      <c r="I50">
        <v>2323061201</v>
      </c>
      <c r="J50" t="s">
        <v>631</v>
      </c>
      <c r="K50" t="s">
        <v>632</v>
      </c>
      <c r="L50" t="s">
        <v>632</v>
      </c>
      <c r="M50">
        <v>62300</v>
      </c>
      <c r="N50" t="str">
        <f>"41.320068"</f>
        <v>41.320068</v>
      </c>
      <c r="O50" t="str">
        <f>"23.542341"</f>
        <v>23.542341</v>
      </c>
      <c r="P50" t="s">
        <v>28</v>
      </c>
      <c r="R50">
        <v>613789</v>
      </c>
      <c r="S50">
        <v>52196733</v>
      </c>
      <c r="T50" t="s">
        <v>633</v>
      </c>
      <c r="U50" t="s">
        <v>95</v>
      </c>
    </row>
    <row r="51" spans="1:21" x14ac:dyDescent="0.25">
      <c r="A51" t="s">
        <v>33</v>
      </c>
      <c r="B51" t="s">
        <v>200</v>
      </c>
      <c r="C51" t="s">
        <v>40</v>
      </c>
      <c r="D51" t="str">
        <f>"9440001"</f>
        <v>9440001</v>
      </c>
      <c r="E51" t="s">
        <v>634</v>
      </c>
      <c r="F51">
        <v>6</v>
      </c>
      <c r="G51">
        <v>7</v>
      </c>
      <c r="H51">
        <v>2322022303</v>
      </c>
      <c r="I51">
        <v>2322022303</v>
      </c>
      <c r="J51" t="s">
        <v>635</v>
      </c>
      <c r="K51" t="s">
        <v>297</v>
      </c>
      <c r="L51" t="s">
        <v>636</v>
      </c>
      <c r="M51">
        <v>62200</v>
      </c>
      <c r="N51" t="str">
        <f>"40.906335"</f>
        <v>40.906335</v>
      </c>
      <c r="O51" t="str">
        <f>"23.500890"</f>
        <v>23.500890</v>
      </c>
      <c r="P51" t="s">
        <v>28</v>
      </c>
      <c r="R51">
        <v>562366</v>
      </c>
      <c r="S51">
        <v>31607285</v>
      </c>
      <c r="T51" t="s">
        <v>637</v>
      </c>
      <c r="U51" t="s">
        <v>60</v>
      </c>
    </row>
    <row r="52" spans="1:21" x14ac:dyDescent="0.25">
      <c r="A52" t="s">
        <v>33</v>
      </c>
      <c r="B52" t="s">
        <v>200</v>
      </c>
      <c r="C52" t="s">
        <v>40</v>
      </c>
      <c r="D52" t="str">
        <f>"9440004"</f>
        <v>9440004</v>
      </c>
      <c r="E52" t="s">
        <v>638</v>
      </c>
      <c r="F52">
        <v>6</v>
      </c>
      <c r="G52">
        <v>7</v>
      </c>
      <c r="H52">
        <v>2322022307</v>
      </c>
      <c r="I52">
        <v>2322022307</v>
      </c>
      <c r="J52" t="s">
        <v>639</v>
      </c>
      <c r="K52" t="s">
        <v>297</v>
      </c>
      <c r="L52" t="s">
        <v>640</v>
      </c>
      <c r="M52">
        <v>62200</v>
      </c>
      <c r="N52" t="str">
        <f>"40.909567"</f>
        <v>40.909567</v>
      </c>
      <c r="O52" t="str">
        <f>"23.499760"</f>
        <v>23.499760</v>
      </c>
      <c r="P52" t="s">
        <v>28</v>
      </c>
      <c r="R52">
        <v>617083</v>
      </c>
      <c r="S52">
        <v>120118727</v>
      </c>
      <c r="T52" t="s">
        <v>641</v>
      </c>
      <c r="U52" t="s">
        <v>60</v>
      </c>
    </row>
    <row r="53" spans="1:21" x14ac:dyDescent="0.25">
      <c r="A53" t="s">
        <v>33</v>
      </c>
      <c r="B53" t="s">
        <v>200</v>
      </c>
      <c r="C53" t="s">
        <v>40</v>
      </c>
      <c r="D53" t="str">
        <f>"9440005"</f>
        <v>9440005</v>
      </c>
      <c r="E53" t="s">
        <v>642</v>
      </c>
      <c r="F53">
        <v>6</v>
      </c>
      <c r="G53">
        <v>6</v>
      </c>
      <c r="H53">
        <v>2322022387</v>
      </c>
      <c r="I53">
        <v>2322022387</v>
      </c>
      <c r="J53" t="s">
        <v>643</v>
      </c>
      <c r="K53" t="s">
        <v>297</v>
      </c>
      <c r="L53" t="s">
        <v>644</v>
      </c>
      <c r="M53">
        <v>62200</v>
      </c>
      <c r="N53" t="str">
        <f>"40.905840"</f>
        <v>40.905840</v>
      </c>
      <c r="O53" t="str">
        <f>"23.497317"</f>
        <v>23.497317</v>
      </c>
      <c r="P53" t="s">
        <v>28</v>
      </c>
      <c r="R53">
        <v>547704</v>
      </c>
      <c r="S53">
        <v>24330150</v>
      </c>
      <c r="T53" t="s">
        <v>645</v>
      </c>
      <c r="U53" t="s">
        <v>60</v>
      </c>
    </row>
    <row r="54" spans="1:21" x14ac:dyDescent="0.25">
      <c r="A54" t="s">
        <v>21</v>
      </c>
      <c r="B54" t="s">
        <v>23</v>
      </c>
      <c r="C54" t="s">
        <v>40</v>
      </c>
      <c r="D54" t="str">
        <f>"9440228"</f>
        <v>9440228</v>
      </c>
      <c r="E54" t="s">
        <v>646</v>
      </c>
      <c r="F54">
        <v>6</v>
      </c>
      <c r="G54">
        <v>6</v>
      </c>
      <c r="H54">
        <v>2327051213</v>
      </c>
      <c r="I54">
        <v>2327051173</v>
      </c>
      <c r="J54" t="s">
        <v>647</v>
      </c>
      <c r="K54" t="s">
        <v>258</v>
      </c>
      <c r="L54" t="s">
        <v>648</v>
      </c>
      <c r="M54">
        <v>62055</v>
      </c>
      <c r="N54" t="str">
        <f>"41.288087"</f>
        <v>41.288087</v>
      </c>
      <c r="O54" t="str">
        <f>"23.034770"</f>
        <v>23.034770</v>
      </c>
      <c r="P54" t="s">
        <v>28</v>
      </c>
      <c r="R54">
        <v>581634</v>
      </c>
      <c r="S54">
        <v>29854770</v>
      </c>
      <c r="T54" t="s">
        <v>649</v>
      </c>
      <c r="U54" t="s">
        <v>95</v>
      </c>
    </row>
    <row r="55" spans="1:21" x14ac:dyDescent="0.25">
      <c r="A55" t="s">
        <v>33</v>
      </c>
      <c r="B55" t="s">
        <v>200</v>
      </c>
      <c r="C55" t="s">
        <v>40</v>
      </c>
      <c r="D55" t="str">
        <f>"9440050"</f>
        <v>9440050</v>
      </c>
      <c r="E55" t="s">
        <v>650</v>
      </c>
      <c r="F55">
        <v>6</v>
      </c>
      <c r="G55">
        <v>6</v>
      </c>
      <c r="H55">
        <v>2322022651</v>
      </c>
      <c r="I55">
        <v>2322022651</v>
      </c>
      <c r="J55" t="s">
        <v>651</v>
      </c>
      <c r="L55" t="s">
        <v>652</v>
      </c>
      <c r="M55">
        <v>62200</v>
      </c>
      <c r="N55" t="str">
        <f>"40.930467"</f>
        <v>40.930467</v>
      </c>
      <c r="O55" t="str">
        <f>"23.434124"</f>
        <v>23.434124</v>
      </c>
      <c r="P55" t="s">
        <v>29</v>
      </c>
      <c r="Q55">
        <v>1</v>
      </c>
      <c r="U55" t="s">
        <v>60</v>
      </c>
    </row>
    <row r="56" spans="1:21" x14ac:dyDescent="0.25">
      <c r="A56" t="s">
        <v>65</v>
      </c>
      <c r="B56" t="s">
        <v>22</v>
      </c>
      <c r="C56" t="s">
        <v>40</v>
      </c>
      <c r="D56" t="str">
        <f>"9440102"</f>
        <v>9440102</v>
      </c>
      <c r="E56" t="s">
        <v>653</v>
      </c>
      <c r="F56">
        <v>6</v>
      </c>
      <c r="G56">
        <v>6</v>
      </c>
      <c r="H56">
        <v>2321041660</v>
      </c>
      <c r="I56">
        <v>2321041660</v>
      </c>
      <c r="J56" t="s">
        <v>654</v>
      </c>
      <c r="K56" t="s">
        <v>273</v>
      </c>
      <c r="L56" t="s">
        <v>273</v>
      </c>
      <c r="M56">
        <v>62100</v>
      </c>
      <c r="N56" t="str">
        <f>"41.019279"</f>
        <v>41.019279</v>
      </c>
      <c r="O56" t="str">
        <f>"23.482313"</f>
        <v>23.482313</v>
      </c>
      <c r="P56" t="s">
        <v>29</v>
      </c>
      <c r="Q56">
        <v>1</v>
      </c>
      <c r="R56">
        <v>554039</v>
      </c>
      <c r="S56">
        <v>28937423</v>
      </c>
      <c r="T56" t="s">
        <v>655</v>
      </c>
      <c r="U56" t="s">
        <v>46</v>
      </c>
    </row>
    <row r="57" spans="1:21" x14ac:dyDescent="0.25">
      <c r="A57" t="s">
        <v>33</v>
      </c>
      <c r="B57" t="s">
        <v>200</v>
      </c>
      <c r="C57" t="s">
        <v>40</v>
      </c>
      <c r="D57" t="str">
        <f>"9440023"</f>
        <v>9440023</v>
      </c>
      <c r="E57" t="s">
        <v>656</v>
      </c>
      <c r="F57">
        <v>6</v>
      </c>
      <c r="G57">
        <v>6</v>
      </c>
      <c r="H57">
        <v>2322061204</v>
      </c>
      <c r="I57">
        <v>2322061204</v>
      </c>
      <c r="J57" t="s">
        <v>657</v>
      </c>
      <c r="K57" t="s">
        <v>658</v>
      </c>
      <c r="L57" t="s">
        <v>659</v>
      </c>
      <c r="M57">
        <v>62200</v>
      </c>
      <c r="N57" t="str">
        <f>"40.982701"</f>
        <v>40.982701</v>
      </c>
      <c r="O57" t="str">
        <f>"23.412104"</f>
        <v>23.412104</v>
      </c>
      <c r="P57" t="s">
        <v>28</v>
      </c>
      <c r="R57">
        <v>578416</v>
      </c>
      <c r="S57">
        <v>38137974</v>
      </c>
      <c r="T57" t="s">
        <v>660</v>
      </c>
      <c r="U57" t="s">
        <v>60</v>
      </c>
    </row>
    <row r="58" spans="1:21" x14ac:dyDescent="0.25">
      <c r="A58" t="s">
        <v>65</v>
      </c>
      <c r="B58" t="s">
        <v>22</v>
      </c>
      <c r="C58" t="s">
        <v>40</v>
      </c>
      <c r="D58" t="str">
        <f>"9440126"</f>
        <v>9440126</v>
      </c>
      <c r="E58" t="s">
        <v>661</v>
      </c>
      <c r="F58">
        <v>7</v>
      </c>
      <c r="G58">
        <v>12</v>
      </c>
      <c r="H58">
        <v>2321041244</v>
      </c>
      <c r="I58">
        <v>2321099185</v>
      </c>
      <c r="J58" t="s">
        <v>662</v>
      </c>
      <c r="K58" t="s">
        <v>663</v>
      </c>
      <c r="L58" t="s">
        <v>594</v>
      </c>
      <c r="M58">
        <v>62100</v>
      </c>
      <c r="N58" t="str">
        <f>"41.015837"</f>
        <v>41.015837</v>
      </c>
      <c r="O58" t="str">
        <f>"23.517081"</f>
        <v>23.517081</v>
      </c>
      <c r="P58" t="s">
        <v>29</v>
      </c>
      <c r="Q58">
        <v>1</v>
      </c>
      <c r="R58">
        <v>599638</v>
      </c>
      <c r="S58">
        <v>77194850</v>
      </c>
      <c r="T58" t="s">
        <v>664</v>
      </c>
      <c r="U58" t="s">
        <v>46</v>
      </c>
    </row>
    <row r="59" spans="1:21" x14ac:dyDescent="0.25">
      <c r="A59" t="s">
        <v>65</v>
      </c>
      <c r="B59" t="s">
        <v>22</v>
      </c>
      <c r="C59" t="s">
        <v>40</v>
      </c>
      <c r="D59" t="str">
        <f>"9440159"</f>
        <v>9440159</v>
      </c>
      <c r="E59" t="s">
        <v>665</v>
      </c>
      <c r="F59">
        <v>1</v>
      </c>
      <c r="G59">
        <v>4</v>
      </c>
      <c r="H59">
        <v>2321088458</v>
      </c>
      <c r="I59">
        <v>2321088458</v>
      </c>
      <c r="J59" t="s">
        <v>666</v>
      </c>
      <c r="K59" t="s">
        <v>667</v>
      </c>
      <c r="L59" t="s">
        <v>668</v>
      </c>
      <c r="M59">
        <v>62100</v>
      </c>
      <c r="N59" t="str">
        <f>"41.056888"</f>
        <v>41.056888</v>
      </c>
      <c r="O59" t="str">
        <f>"23.423192"</f>
        <v>23.423192</v>
      </c>
      <c r="P59" t="s">
        <v>28</v>
      </c>
      <c r="R59">
        <v>557502</v>
      </c>
      <c r="S59">
        <v>34145565</v>
      </c>
      <c r="T59" t="s">
        <v>669</v>
      </c>
      <c r="U59" t="s">
        <v>60</v>
      </c>
    </row>
    <row r="60" spans="1:21" x14ac:dyDescent="0.25">
      <c r="A60" t="s">
        <v>34</v>
      </c>
      <c r="B60" t="s">
        <v>22</v>
      </c>
      <c r="C60" t="s">
        <v>40</v>
      </c>
      <c r="D60" t="str">
        <f>"9440077"</f>
        <v>9440077</v>
      </c>
      <c r="E60" t="s">
        <v>670</v>
      </c>
      <c r="F60">
        <v>11</v>
      </c>
      <c r="G60">
        <v>12</v>
      </c>
      <c r="H60">
        <v>2321022143</v>
      </c>
      <c r="I60">
        <v>2321026930</v>
      </c>
      <c r="J60" t="s">
        <v>671</v>
      </c>
      <c r="K60" t="s">
        <v>57</v>
      </c>
      <c r="L60" t="s">
        <v>672</v>
      </c>
      <c r="M60">
        <v>62122</v>
      </c>
      <c r="N60" t="str">
        <f>"41.093367"</f>
        <v>41.093367</v>
      </c>
      <c r="O60" t="str">
        <f>"23.553896"</f>
        <v>23.553896</v>
      </c>
      <c r="P60" t="s">
        <v>29</v>
      </c>
      <c r="Q60">
        <v>1</v>
      </c>
      <c r="R60">
        <v>586701</v>
      </c>
      <c r="S60">
        <v>46994695</v>
      </c>
      <c r="T60" t="s">
        <v>673</v>
      </c>
      <c r="U60" t="s">
        <v>95</v>
      </c>
    </row>
    <row r="61" spans="1:21" x14ac:dyDescent="0.25">
      <c r="A61" t="s">
        <v>33</v>
      </c>
      <c r="B61" t="s">
        <v>23</v>
      </c>
      <c r="C61" t="s">
        <v>40</v>
      </c>
      <c r="D61" t="str">
        <f>"9440212"</f>
        <v>9440212</v>
      </c>
      <c r="E61" t="s">
        <v>674</v>
      </c>
      <c r="F61">
        <v>6</v>
      </c>
      <c r="G61">
        <v>11</v>
      </c>
      <c r="H61">
        <v>2323023180</v>
      </c>
      <c r="I61">
        <v>2323023180</v>
      </c>
      <c r="J61" t="s">
        <v>675</v>
      </c>
      <c r="K61" t="s">
        <v>409</v>
      </c>
      <c r="L61" t="s">
        <v>676</v>
      </c>
      <c r="M61">
        <v>62300</v>
      </c>
      <c r="N61" t="str">
        <f>"41.235238"</f>
        <v>41.235238</v>
      </c>
      <c r="O61" t="str">
        <f>"23.392426"</f>
        <v>23.392426</v>
      </c>
      <c r="P61" t="s">
        <v>29</v>
      </c>
      <c r="Q61">
        <v>1</v>
      </c>
      <c r="R61">
        <v>581158</v>
      </c>
      <c r="S61">
        <v>53472902</v>
      </c>
      <c r="T61" t="s">
        <v>677</v>
      </c>
      <c r="U61" t="s">
        <v>95</v>
      </c>
    </row>
    <row r="62" spans="1:21" x14ac:dyDescent="0.25">
      <c r="A62" t="s">
        <v>34</v>
      </c>
      <c r="B62" t="s">
        <v>22</v>
      </c>
      <c r="C62" t="s">
        <v>40</v>
      </c>
      <c r="D62" t="str">
        <f>"9440417"</f>
        <v>9440417</v>
      </c>
      <c r="E62" t="s">
        <v>678</v>
      </c>
      <c r="F62">
        <v>12</v>
      </c>
      <c r="G62">
        <v>12</v>
      </c>
      <c r="H62">
        <v>2321023108</v>
      </c>
      <c r="I62">
        <v>2321064850</v>
      </c>
      <c r="J62" t="s">
        <v>679</v>
      </c>
      <c r="K62" t="s">
        <v>680</v>
      </c>
      <c r="L62" t="s">
        <v>681</v>
      </c>
      <c r="M62">
        <v>62122</v>
      </c>
      <c r="N62" t="str">
        <f>"41.091002"</f>
        <v>41.091002</v>
      </c>
      <c r="O62" t="str">
        <f>"23.555033"</f>
        <v>23.555033</v>
      </c>
      <c r="P62" t="s">
        <v>28</v>
      </c>
      <c r="R62">
        <v>576618</v>
      </c>
      <c r="S62">
        <v>28939570</v>
      </c>
      <c r="T62" t="s">
        <v>682</v>
      </c>
      <c r="U62" t="s">
        <v>60</v>
      </c>
    </row>
    <row r="63" spans="1:21" x14ac:dyDescent="0.25">
      <c r="A63" t="s">
        <v>230</v>
      </c>
      <c r="B63" t="s">
        <v>22</v>
      </c>
      <c r="C63" t="s">
        <v>40</v>
      </c>
      <c r="D63" t="str">
        <f>"9440118"</f>
        <v>9440118</v>
      </c>
      <c r="E63" t="s">
        <v>683</v>
      </c>
      <c r="F63">
        <v>3</v>
      </c>
      <c r="G63">
        <v>5</v>
      </c>
      <c r="H63">
        <v>2321056846</v>
      </c>
      <c r="I63">
        <v>2321056846</v>
      </c>
      <c r="J63" t="s">
        <v>684</v>
      </c>
      <c r="K63" t="s">
        <v>685</v>
      </c>
      <c r="L63" t="s">
        <v>686</v>
      </c>
      <c r="M63">
        <v>62100</v>
      </c>
      <c r="N63" t="str">
        <f>"41.190853"</f>
        <v>41.190853</v>
      </c>
      <c r="O63" t="str">
        <f>"23.592304"</f>
        <v>23.592304</v>
      </c>
      <c r="P63" t="s">
        <v>28</v>
      </c>
      <c r="R63">
        <v>551372</v>
      </c>
      <c r="S63">
        <v>27314707</v>
      </c>
      <c r="T63" t="s">
        <v>687</v>
      </c>
      <c r="U63" t="s">
        <v>95</v>
      </c>
    </row>
    <row r="64" spans="1:21" x14ac:dyDescent="0.25">
      <c r="A64" t="s">
        <v>259</v>
      </c>
      <c r="B64" t="s">
        <v>23</v>
      </c>
      <c r="C64" t="s">
        <v>40</v>
      </c>
      <c r="D64" t="str">
        <f>"9440245"</f>
        <v>9440245</v>
      </c>
      <c r="E64" t="s">
        <v>688</v>
      </c>
      <c r="F64">
        <v>2</v>
      </c>
      <c r="G64">
        <v>4</v>
      </c>
      <c r="H64">
        <v>2327061257</v>
      </c>
      <c r="I64">
        <v>2327061257</v>
      </c>
      <c r="J64" t="s">
        <v>689</v>
      </c>
      <c r="K64" t="s">
        <v>690</v>
      </c>
      <c r="L64" t="s">
        <v>691</v>
      </c>
      <c r="M64">
        <v>62055</v>
      </c>
      <c r="N64" t="str">
        <f>"41.277096"</f>
        <v>41.277096</v>
      </c>
      <c r="O64" t="str">
        <f>"22.893034"</f>
        <v>22.893034</v>
      </c>
      <c r="P64" t="s">
        <v>28</v>
      </c>
      <c r="R64">
        <v>715483</v>
      </c>
      <c r="S64">
        <v>139962176</v>
      </c>
      <c r="T64" t="s">
        <v>692</v>
      </c>
      <c r="U64" t="s">
        <v>95</v>
      </c>
    </row>
    <row r="65" spans="1:21" x14ac:dyDescent="0.25">
      <c r="A65" t="s">
        <v>33</v>
      </c>
      <c r="B65" t="s">
        <v>388</v>
      </c>
      <c r="C65" t="s">
        <v>40</v>
      </c>
      <c r="D65" t="str">
        <f>"9440068"</f>
        <v>9440068</v>
      </c>
      <c r="E65" t="s">
        <v>717</v>
      </c>
      <c r="F65">
        <v>6</v>
      </c>
      <c r="G65">
        <v>6</v>
      </c>
      <c r="H65">
        <v>2325041255</v>
      </c>
      <c r="I65">
        <v>2325041574</v>
      </c>
      <c r="J65" t="s">
        <v>718</v>
      </c>
      <c r="K65" t="s">
        <v>719</v>
      </c>
      <c r="L65" t="s">
        <v>502</v>
      </c>
      <c r="M65">
        <v>62400</v>
      </c>
      <c r="N65" t="str">
        <f>"41.108042"</f>
        <v>41.108042</v>
      </c>
      <c r="O65" t="str">
        <f>"23.261069"</f>
        <v>23.261069</v>
      </c>
      <c r="P65" t="s">
        <v>28</v>
      </c>
      <c r="R65">
        <v>554443</v>
      </c>
      <c r="S65">
        <v>30697798</v>
      </c>
      <c r="T65" t="s">
        <v>720</v>
      </c>
      <c r="U65" t="s">
        <v>60</v>
      </c>
    </row>
    <row r="66" spans="1:21" x14ac:dyDescent="0.25">
      <c r="A66" t="s">
        <v>33</v>
      </c>
      <c r="B66" t="s">
        <v>388</v>
      </c>
      <c r="C66" t="s">
        <v>40</v>
      </c>
      <c r="D66" t="str">
        <f>"9440164"</f>
        <v>9440164</v>
      </c>
      <c r="E66" t="s">
        <v>722</v>
      </c>
      <c r="F66">
        <v>6</v>
      </c>
      <c r="G66">
        <v>6</v>
      </c>
      <c r="H66">
        <v>2325022734</v>
      </c>
      <c r="I66">
        <v>2325028198</v>
      </c>
      <c r="J66" t="s">
        <v>723</v>
      </c>
      <c r="K66" t="s">
        <v>724</v>
      </c>
      <c r="L66" t="s">
        <v>725</v>
      </c>
      <c r="M66">
        <v>62400</v>
      </c>
      <c r="N66" t="str">
        <f>"41.164401"</f>
        <v>41.164401</v>
      </c>
      <c r="O66" t="str">
        <f>"23.267390"</f>
        <v>23.267390</v>
      </c>
      <c r="P66" t="s">
        <v>28</v>
      </c>
      <c r="R66">
        <v>574953</v>
      </c>
      <c r="S66">
        <v>34474348</v>
      </c>
      <c r="T66" t="s">
        <v>726</v>
      </c>
      <c r="U66" t="s">
        <v>60</v>
      </c>
    </row>
    <row r="67" spans="1:21" x14ac:dyDescent="0.25">
      <c r="A67" t="s">
        <v>34</v>
      </c>
      <c r="B67" t="s">
        <v>22</v>
      </c>
      <c r="C67" t="s">
        <v>40</v>
      </c>
      <c r="D67" t="str">
        <f>"9440430"</f>
        <v>9440430</v>
      </c>
      <c r="E67" t="s">
        <v>727</v>
      </c>
      <c r="F67">
        <v>6</v>
      </c>
      <c r="G67">
        <v>6</v>
      </c>
      <c r="H67">
        <v>2321058703</v>
      </c>
      <c r="I67">
        <v>2321058703</v>
      </c>
      <c r="J67" t="s">
        <v>728</v>
      </c>
      <c r="K67" t="s">
        <v>22</v>
      </c>
      <c r="L67" t="s">
        <v>729</v>
      </c>
      <c r="M67">
        <v>62122</v>
      </c>
      <c r="N67" t="str">
        <f>"41.089605"</f>
        <v>41.089605</v>
      </c>
      <c r="O67" t="str">
        <f>"23.550009"</f>
        <v>23.550009</v>
      </c>
      <c r="P67" t="s">
        <v>28</v>
      </c>
      <c r="R67">
        <v>567040</v>
      </c>
      <c r="S67">
        <v>35783075</v>
      </c>
      <c r="T67" t="s">
        <v>730</v>
      </c>
      <c r="U67" t="s">
        <v>46</v>
      </c>
    </row>
    <row r="68" spans="1:21" x14ac:dyDescent="0.25">
      <c r="A68" t="s">
        <v>33</v>
      </c>
      <c r="B68" t="s">
        <v>388</v>
      </c>
      <c r="C68" t="s">
        <v>40</v>
      </c>
      <c r="D68" t="str">
        <f>"9440255"</f>
        <v>9440255</v>
      </c>
      <c r="E68" t="s">
        <v>736</v>
      </c>
      <c r="F68">
        <v>6</v>
      </c>
      <c r="G68">
        <v>6</v>
      </c>
      <c r="H68">
        <v>2325023210</v>
      </c>
      <c r="I68">
        <v>2325023571</v>
      </c>
      <c r="J68" t="s">
        <v>737</v>
      </c>
      <c r="K68" t="s">
        <v>436</v>
      </c>
      <c r="L68" t="s">
        <v>437</v>
      </c>
      <c r="M68">
        <v>62400</v>
      </c>
      <c r="N68" t="str">
        <f>"41.217342"</f>
        <v>41.217342</v>
      </c>
      <c r="O68" t="str">
        <f>"23.298808"</f>
        <v>23.298808</v>
      </c>
      <c r="P68" t="s">
        <v>28</v>
      </c>
      <c r="R68">
        <v>557181</v>
      </c>
      <c r="S68">
        <v>31934874</v>
      </c>
      <c r="T68" t="s">
        <v>738</v>
      </c>
      <c r="U68" t="s">
        <v>60</v>
      </c>
    </row>
    <row r="69" spans="1:21" x14ac:dyDescent="0.25">
      <c r="A69" t="s">
        <v>65</v>
      </c>
      <c r="B69" t="s">
        <v>22</v>
      </c>
      <c r="C69" t="s">
        <v>40</v>
      </c>
      <c r="D69" t="str">
        <f>"9440354"</f>
        <v>9440354</v>
      </c>
      <c r="E69" t="s">
        <v>739</v>
      </c>
      <c r="F69">
        <v>6</v>
      </c>
      <c r="G69">
        <v>6</v>
      </c>
      <c r="H69">
        <v>2321075204</v>
      </c>
      <c r="I69">
        <v>2321075204</v>
      </c>
      <c r="J69" t="s">
        <v>740</v>
      </c>
      <c r="K69" t="s">
        <v>741</v>
      </c>
      <c r="L69" t="s">
        <v>609</v>
      </c>
      <c r="M69">
        <v>62100</v>
      </c>
      <c r="N69" t="str">
        <f>"41.070295"</f>
        <v>41.070295</v>
      </c>
      <c r="O69" t="str">
        <f>"23.460570"</f>
        <v>23.460570</v>
      </c>
      <c r="P69" t="s">
        <v>29</v>
      </c>
      <c r="Q69">
        <v>1</v>
      </c>
      <c r="R69">
        <v>563963</v>
      </c>
      <c r="S69">
        <v>28844187</v>
      </c>
      <c r="T69" t="s">
        <v>742</v>
      </c>
      <c r="U69" t="s">
        <v>46</v>
      </c>
    </row>
    <row r="70" spans="1:21" x14ac:dyDescent="0.25">
      <c r="A70" t="s">
        <v>33</v>
      </c>
      <c r="B70" t="s">
        <v>388</v>
      </c>
      <c r="C70" t="s">
        <v>40</v>
      </c>
      <c r="D70" t="str">
        <f>"9440269"</f>
        <v>9440269</v>
      </c>
      <c r="E70" t="s">
        <v>748</v>
      </c>
      <c r="F70">
        <v>7</v>
      </c>
      <c r="G70">
        <v>8</v>
      </c>
      <c r="H70">
        <v>2325023475</v>
      </c>
      <c r="I70">
        <v>2325023536</v>
      </c>
      <c r="J70" t="s">
        <v>749</v>
      </c>
      <c r="K70" t="s">
        <v>750</v>
      </c>
      <c r="L70" t="s">
        <v>497</v>
      </c>
      <c r="M70">
        <v>62400</v>
      </c>
      <c r="N70" t="str">
        <f>"41.207202"</f>
        <v>41.207202</v>
      </c>
      <c r="O70" t="str">
        <f>"23.285161"</f>
        <v>23.285161</v>
      </c>
      <c r="P70" t="s">
        <v>29</v>
      </c>
      <c r="Q70">
        <v>1</v>
      </c>
      <c r="R70">
        <v>579436</v>
      </c>
      <c r="S70">
        <v>39202400</v>
      </c>
      <c r="T70" t="s">
        <v>751</v>
      </c>
      <c r="U70" t="s">
        <v>60</v>
      </c>
    </row>
    <row r="71" spans="1:21" x14ac:dyDescent="0.25">
      <c r="A71" t="s">
        <v>33</v>
      </c>
      <c r="B71" t="s">
        <v>388</v>
      </c>
      <c r="C71" t="s">
        <v>40</v>
      </c>
      <c r="D71" t="str">
        <f>"9440199"</f>
        <v>9440199</v>
      </c>
      <c r="E71" t="s">
        <v>752</v>
      </c>
      <c r="F71">
        <v>6</v>
      </c>
      <c r="G71">
        <v>6</v>
      </c>
      <c r="H71">
        <v>2325022671</v>
      </c>
      <c r="I71">
        <v>2325025522</v>
      </c>
      <c r="J71" t="s">
        <v>753</v>
      </c>
      <c r="K71" t="s">
        <v>754</v>
      </c>
      <c r="L71" t="s">
        <v>392</v>
      </c>
      <c r="M71">
        <v>62400</v>
      </c>
      <c r="N71" t="str">
        <f>"41.179136"</f>
        <v>41.179136</v>
      </c>
      <c r="O71" t="str">
        <f>"23.318967"</f>
        <v>23.318967</v>
      </c>
      <c r="P71" t="s">
        <v>28</v>
      </c>
      <c r="R71">
        <v>600077</v>
      </c>
      <c r="S71">
        <v>61557092</v>
      </c>
      <c r="T71" t="s">
        <v>755</v>
      </c>
      <c r="U71" t="s">
        <v>60</v>
      </c>
    </row>
    <row r="72" spans="1:21" x14ac:dyDescent="0.25">
      <c r="A72" t="s">
        <v>65</v>
      </c>
      <c r="B72" t="s">
        <v>80</v>
      </c>
      <c r="C72" t="s">
        <v>40</v>
      </c>
      <c r="D72" t="str">
        <f>"9440132"</f>
        <v>9440132</v>
      </c>
      <c r="E72" t="s">
        <v>761</v>
      </c>
      <c r="F72">
        <v>6</v>
      </c>
      <c r="G72">
        <v>6</v>
      </c>
      <c r="H72">
        <v>2321074409</v>
      </c>
      <c r="I72">
        <v>2321074409</v>
      </c>
      <c r="J72" t="s">
        <v>762</v>
      </c>
      <c r="K72" t="s">
        <v>763</v>
      </c>
      <c r="L72" t="s">
        <v>763</v>
      </c>
      <c r="M72">
        <v>62046</v>
      </c>
      <c r="N72" t="str">
        <f>"41.062046"</f>
        <v>41.062046</v>
      </c>
      <c r="O72" t="str">
        <f>"23.653952"</f>
        <v>23.653952</v>
      </c>
      <c r="P72" t="s">
        <v>28</v>
      </c>
      <c r="R72">
        <v>557148</v>
      </c>
      <c r="S72">
        <v>32125480</v>
      </c>
      <c r="T72" t="s">
        <v>764</v>
      </c>
      <c r="U72" t="s">
        <v>46</v>
      </c>
    </row>
    <row r="73" spans="1:21" x14ac:dyDescent="0.25">
      <c r="A73" t="s">
        <v>65</v>
      </c>
      <c r="B73" t="s">
        <v>388</v>
      </c>
      <c r="C73" t="s">
        <v>40</v>
      </c>
      <c r="D73" t="str">
        <f>"9440187"</f>
        <v>9440187</v>
      </c>
      <c r="E73" t="s">
        <v>765</v>
      </c>
      <c r="F73">
        <v>6</v>
      </c>
      <c r="G73">
        <v>6</v>
      </c>
      <c r="H73">
        <v>2321081215</v>
      </c>
      <c r="I73">
        <v>2321081215</v>
      </c>
      <c r="J73" t="s">
        <v>766</v>
      </c>
      <c r="K73" t="s">
        <v>767</v>
      </c>
      <c r="L73" t="s">
        <v>477</v>
      </c>
      <c r="M73">
        <v>62100</v>
      </c>
      <c r="N73" t="str">
        <f>"41.126698"</f>
        <v>41.126698</v>
      </c>
      <c r="O73" t="str">
        <f>"23.378918"</f>
        <v>23.378918</v>
      </c>
      <c r="P73" t="s">
        <v>29</v>
      </c>
      <c r="Q73">
        <v>1</v>
      </c>
      <c r="R73">
        <v>582038</v>
      </c>
      <c r="S73">
        <v>71875815</v>
      </c>
      <c r="T73" t="s">
        <v>768</v>
      </c>
      <c r="U73" t="s">
        <v>60</v>
      </c>
    </row>
    <row r="74" spans="1:21" x14ac:dyDescent="0.25">
      <c r="A74" t="s">
        <v>33</v>
      </c>
      <c r="B74" t="s">
        <v>388</v>
      </c>
      <c r="C74" t="s">
        <v>40</v>
      </c>
      <c r="D74" t="str">
        <f>"9440064"</f>
        <v>9440064</v>
      </c>
      <c r="E74" t="s">
        <v>769</v>
      </c>
      <c r="F74">
        <v>6</v>
      </c>
      <c r="G74">
        <v>7</v>
      </c>
      <c r="H74">
        <v>2321086213</v>
      </c>
      <c r="I74">
        <v>2321086213</v>
      </c>
      <c r="J74" t="s">
        <v>770</v>
      </c>
      <c r="K74" t="s">
        <v>427</v>
      </c>
      <c r="L74" t="s">
        <v>428</v>
      </c>
      <c r="M74">
        <v>62054</v>
      </c>
      <c r="N74" t="str">
        <f>"41.043243"</f>
        <v>41.043243</v>
      </c>
      <c r="O74" t="str">
        <f>"23.316267"</f>
        <v>23.316267</v>
      </c>
      <c r="P74" t="s">
        <v>29</v>
      </c>
      <c r="Q74">
        <v>1</v>
      </c>
      <c r="R74">
        <v>554056</v>
      </c>
      <c r="S74">
        <v>30695824</v>
      </c>
      <c r="T74" t="s">
        <v>771</v>
      </c>
      <c r="U74" t="s">
        <v>60</v>
      </c>
    </row>
    <row r="75" spans="1:21" x14ac:dyDescent="0.25">
      <c r="A75" t="s">
        <v>65</v>
      </c>
      <c r="B75" t="s">
        <v>22</v>
      </c>
      <c r="C75" t="s">
        <v>40</v>
      </c>
      <c r="D75" t="str">
        <f>"9440185"</f>
        <v>9440185</v>
      </c>
      <c r="E75" t="s">
        <v>772</v>
      </c>
      <c r="F75">
        <v>6</v>
      </c>
      <c r="G75">
        <v>6</v>
      </c>
      <c r="H75">
        <v>2321088203</v>
      </c>
      <c r="I75">
        <v>2321088203</v>
      </c>
      <c r="J75" t="s">
        <v>773</v>
      </c>
      <c r="L75" t="s">
        <v>473</v>
      </c>
      <c r="M75">
        <v>62100</v>
      </c>
      <c r="N75" t="str">
        <f>"41.067012"</f>
        <v>41.067012</v>
      </c>
      <c r="O75" t="str">
        <f>"23.387160"</f>
        <v>23.387160</v>
      </c>
      <c r="P75" t="s">
        <v>28</v>
      </c>
      <c r="R75">
        <v>562825</v>
      </c>
      <c r="S75">
        <v>27340528</v>
      </c>
      <c r="T75" t="s">
        <v>774</v>
      </c>
      <c r="U75" t="s">
        <v>60</v>
      </c>
    </row>
    <row r="76" spans="1:21" x14ac:dyDescent="0.25">
      <c r="A76" t="s">
        <v>33</v>
      </c>
      <c r="B76" t="s">
        <v>388</v>
      </c>
      <c r="C76" t="s">
        <v>40</v>
      </c>
      <c r="D76" t="str">
        <f>"9440136"</f>
        <v>9440136</v>
      </c>
      <c r="E76" t="s">
        <v>775</v>
      </c>
      <c r="F76">
        <v>9</v>
      </c>
      <c r="G76">
        <v>12</v>
      </c>
      <c r="H76">
        <v>2325022377</v>
      </c>
      <c r="I76">
        <v>2325022377</v>
      </c>
      <c r="J76" t="s">
        <v>776</v>
      </c>
      <c r="K76" t="s">
        <v>777</v>
      </c>
      <c r="L76" t="s">
        <v>778</v>
      </c>
      <c r="M76">
        <v>62400</v>
      </c>
      <c r="N76" t="str">
        <f>"41.184927"</f>
        <v>41.184927</v>
      </c>
      <c r="O76" t="str">
        <f>"23.283135"</f>
        <v>23.283135</v>
      </c>
      <c r="P76" t="s">
        <v>29</v>
      </c>
      <c r="Q76">
        <v>1</v>
      </c>
      <c r="R76">
        <v>594045</v>
      </c>
      <c r="S76">
        <v>48091510</v>
      </c>
      <c r="T76" t="s">
        <v>779</v>
      </c>
      <c r="U76" t="s">
        <v>60</v>
      </c>
    </row>
    <row r="77" spans="1:21" x14ac:dyDescent="0.25">
      <c r="A77" t="s">
        <v>33</v>
      </c>
      <c r="B77" t="s">
        <v>388</v>
      </c>
      <c r="C77" t="s">
        <v>40</v>
      </c>
      <c r="D77" t="str">
        <f>"9440401"</f>
        <v>9440401</v>
      </c>
      <c r="E77" t="s">
        <v>780</v>
      </c>
      <c r="F77">
        <v>6</v>
      </c>
      <c r="G77">
        <v>6</v>
      </c>
      <c r="H77">
        <v>2325023968</v>
      </c>
      <c r="I77">
        <v>2325022377</v>
      </c>
      <c r="J77" t="s">
        <v>781</v>
      </c>
      <c r="K77" t="s">
        <v>777</v>
      </c>
      <c r="L77" t="s">
        <v>782</v>
      </c>
      <c r="M77">
        <v>62400</v>
      </c>
      <c r="N77" t="str">
        <f>"41.184943"</f>
        <v>41.184943</v>
      </c>
      <c r="O77" t="str">
        <f>"23.283146"</f>
        <v>23.283146</v>
      </c>
      <c r="P77" t="s">
        <v>28</v>
      </c>
      <c r="R77">
        <v>572777</v>
      </c>
      <c r="S77">
        <v>34145370</v>
      </c>
      <c r="T77" t="s">
        <v>783</v>
      </c>
      <c r="U77" t="s">
        <v>60</v>
      </c>
    </row>
    <row r="78" spans="1:21" x14ac:dyDescent="0.25">
      <c r="A78" t="s">
        <v>34</v>
      </c>
      <c r="B78" t="s">
        <v>22</v>
      </c>
      <c r="C78" t="s">
        <v>40</v>
      </c>
      <c r="D78" t="str">
        <f>"9521119"</f>
        <v>9521119</v>
      </c>
      <c r="E78" t="s">
        <v>787</v>
      </c>
      <c r="F78">
        <v>6</v>
      </c>
      <c r="G78">
        <v>6</v>
      </c>
      <c r="H78">
        <v>2321038655</v>
      </c>
      <c r="I78">
        <v>2321038655</v>
      </c>
      <c r="J78" t="s">
        <v>788</v>
      </c>
      <c r="K78" t="s">
        <v>57</v>
      </c>
      <c r="L78" t="s">
        <v>58</v>
      </c>
      <c r="M78">
        <v>62110</v>
      </c>
      <c r="N78" t="str">
        <f>"41.085141"</f>
        <v>41.085141</v>
      </c>
      <c r="O78" t="str">
        <f>"23.550154"</f>
        <v>23.550154</v>
      </c>
      <c r="P78" t="s">
        <v>28</v>
      </c>
      <c r="R78">
        <v>554513</v>
      </c>
      <c r="S78">
        <v>30803620</v>
      </c>
      <c r="T78" t="s">
        <v>789</v>
      </c>
      <c r="U78" t="s">
        <v>60</v>
      </c>
    </row>
    <row r="79" spans="1:21" x14ac:dyDescent="0.25">
      <c r="A79" t="s">
        <v>33</v>
      </c>
      <c r="B79" t="s">
        <v>23</v>
      </c>
      <c r="C79" t="s">
        <v>40</v>
      </c>
      <c r="D79" t="str">
        <f>"9521278"</f>
        <v>9521278</v>
      </c>
      <c r="E79" t="s">
        <v>794</v>
      </c>
      <c r="F79">
        <v>2</v>
      </c>
      <c r="G79">
        <v>2</v>
      </c>
      <c r="H79">
        <v>2323022841</v>
      </c>
      <c r="I79">
        <v>2323051428</v>
      </c>
      <c r="J79" t="s">
        <v>795</v>
      </c>
      <c r="K79" t="s">
        <v>293</v>
      </c>
      <c r="L79" t="s">
        <v>293</v>
      </c>
      <c r="M79">
        <v>62300</v>
      </c>
      <c r="N79" t="str">
        <f>"41.234947"</f>
        <v>41.234947</v>
      </c>
      <c r="O79" t="str">
        <f>"23.393820"</f>
        <v>23.393820</v>
      </c>
      <c r="P79" t="s">
        <v>28</v>
      </c>
      <c r="R79">
        <v>594033</v>
      </c>
      <c r="S79">
        <v>101615321</v>
      </c>
      <c r="T79" t="s">
        <v>796</v>
      </c>
      <c r="U79" t="s">
        <v>369</v>
      </c>
    </row>
    <row r="80" spans="1:21" x14ac:dyDescent="0.25">
      <c r="A80" t="s">
        <v>34</v>
      </c>
      <c r="B80" t="s">
        <v>22</v>
      </c>
      <c r="C80" t="s">
        <v>40</v>
      </c>
      <c r="D80" t="str">
        <f>"9521174"</f>
        <v>9521174</v>
      </c>
      <c r="E80" t="s">
        <v>797</v>
      </c>
      <c r="F80">
        <v>1</v>
      </c>
      <c r="G80">
        <v>1</v>
      </c>
      <c r="H80">
        <v>2321021971</v>
      </c>
      <c r="I80">
        <v>2321021971</v>
      </c>
      <c r="J80" t="s">
        <v>798</v>
      </c>
      <c r="K80" t="s">
        <v>22</v>
      </c>
      <c r="L80" t="s">
        <v>334</v>
      </c>
      <c r="M80">
        <v>62121</v>
      </c>
      <c r="N80" t="str">
        <f>"41.077824"</f>
        <v>41.077824</v>
      </c>
      <c r="O80" t="str">
        <f>"23.533946"</f>
        <v>23.533946</v>
      </c>
      <c r="P80" t="s">
        <v>28</v>
      </c>
      <c r="U80" t="s">
        <v>32</v>
      </c>
    </row>
    <row r="81" spans="1:21" x14ac:dyDescent="0.25">
      <c r="A81" t="s">
        <v>34</v>
      </c>
      <c r="B81" t="s">
        <v>22</v>
      </c>
      <c r="C81" t="s">
        <v>40</v>
      </c>
      <c r="D81" t="str">
        <f>"9521475"</f>
        <v>9521475</v>
      </c>
      <c r="E81" t="s">
        <v>799</v>
      </c>
      <c r="F81">
        <v>9</v>
      </c>
      <c r="G81">
        <v>9</v>
      </c>
      <c r="H81">
        <v>2321050060</v>
      </c>
      <c r="I81">
        <v>2321059125</v>
      </c>
      <c r="J81" t="s">
        <v>800</v>
      </c>
      <c r="K81" t="s">
        <v>57</v>
      </c>
      <c r="L81" t="s">
        <v>801</v>
      </c>
      <c r="M81">
        <v>62125</v>
      </c>
      <c r="N81" t="str">
        <f>"41.082947"</f>
        <v>41.082947</v>
      </c>
      <c r="O81" t="str">
        <f>"23.540228"</f>
        <v>23.540228</v>
      </c>
      <c r="P81" t="s">
        <v>28</v>
      </c>
      <c r="R81">
        <v>557980</v>
      </c>
      <c r="S81">
        <v>31452037</v>
      </c>
      <c r="T81" t="s">
        <v>802</v>
      </c>
      <c r="U81" t="s">
        <v>60</v>
      </c>
    </row>
    <row r="82" spans="1:21" x14ac:dyDescent="0.25">
      <c r="A82" t="s">
        <v>34</v>
      </c>
      <c r="B82" t="s">
        <v>22</v>
      </c>
      <c r="C82" t="s">
        <v>826</v>
      </c>
      <c r="D82" t="str">
        <f>"7441001"</f>
        <v>7441001</v>
      </c>
      <c r="E82" t="s">
        <v>827</v>
      </c>
      <c r="F82">
        <v>2</v>
      </c>
      <c r="G82">
        <v>0</v>
      </c>
      <c r="H82">
        <v>2321053840</v>
      </c>
      <c r="J82" t="s">
        <v>828</v>
      </c>
      <c r="K82" t="s">
        <v>57</v>
      </c>
      <c r="L82" t="s">
        <v>829</v>
      </c>
      <c r="N82" t="str">
        <f>"41.090317"</f>
        <v>41.090317</v>
      </c>
      <c r="O82" t="str">
        <f>"23.577551"</f>
        <v>23.577551</v>
      </c>
      <c r="P82" t="s">
        <v>28</v>
      </c>
      <c r="S82">
        <v>142679437</v>
      </c>
      <c r="T82" t="s">
        <v>830</v>
      </c>
      <c r="U82" t="s">
        <v>39</v>
      </c>
    </row>
    <row r="83" spans="1:21" x14ac:dyDescent="0.25">
      <c r="B83" t="s">
        <v>22</v>
      </c>
      <c r="C83" t="s">
        <v>826</v>
      </c>
      <c r="D83" t="str">
        <f>"7441003"</f>
        <v>7441003</v>
      </c>
      <c r="E83" t="s">
        <v>831</v>
      </c>
      <c r="F83">
        <v>1</v>
      </c>
      <c r="G83">
        <v>0</v>
      </c>
      <c r="H83">
        <v>2321051180</v>
      </c>
      <c r="I83">
        <v>2321087170</v>
      </c>
      <c r="J83" t="s">
        <v>832</v>
      </c>
      <c r="K83" t="s">
        <v>57</v>
      </c>
      <c r="L83" t="s">
        <v>833</v>
      </c>
      <c r="M83">
        <v>62121</v>
      </c>
      <c r="N83" t="str">
        <f>"41.090449"</f>
        <v>41.090449</v>
      </c>
      <c r="O83" t="str">
        <f>"23.543233"</f>
        <v>23.543233</v>
      </c>
      <c r="P83" t="s">
        <v>28</v>
      </c>
      <c r="S83">
        <v>142689523</v>
      </c>
      <c r="T83" t="s">
        <v>834</v>
      </c>
      <c r="U83" t="s">
        <v>39</v>
      </c>
    </row>
    <row r="84" spans="1:21" x14ac:dyDescent="0.25">
      <c r="A84" t="s">
        <v>34</v>
      </c>
      <c r="B84" t="s">
        <v>22</v>
      </c>
      <c r="C84" t="s">
        <v>826</v>
      </c>
      <c r="D84" t="str">
        <f>"7441005"</f>
        <v>7441005</v>
      </c>
      <c r="E84" t="s">
        <v>835</v>
      </c>
      <c r="F84">
        <v>1</v>
      </c>
      <c r="G84">
        <v>1</v>
      </c>
      <c r="K84" t="s">
        <v>43</v>
      </c>
      <c r="L84" t="s">
        <v>836</v>
      </c>
      <c r="M84">
        <v>62125</v>
      </c>
      <c r="N84" t="str">
        <f>"41.080630"</f>
        <v>41.080630</v>
      </c>
      <c r="O84" t="str">
        <f>"23.532696"</f>
        <v>23.532696</v>
      </c>
      <c r="P84" t="s">
        <v>28</v>
      </c>
      <c r="S84">
        <v>159920686</v>
      </c>
      <c r="T84" t="s">
        <v>837</v>
      </c>
      <c r="U84" t="s">
        <v>39</v>
      </c>
    </row>
    <row r="85" spans="1:21" x14ac:dyDescent="0.25">
      <c r="A85" t="s">
        <v>21</v>
      </c>
      <c r="B85" t="s">
        <v>23</v>
      </c>
      <c r="C85" t="s">
        <v>24</v>
      </c>
      <c r="D85" t="str">
        <f>"9440217"</f>
        <v>9440217</v>
      </c>
      <c r="E85" t="s">
        <v>25</v>
      </c>
      <c r="F85">
        <v>1</v>
      </c>
      <c r="G85">
        <v>1</v>
      </c>
      <c r="H85">
        <v>2323041303</v>
      </c>
      <c r="I85">
        <v>2323041303</v>
      </c>
      <c r="J85" t="s">
        <v>26</v>
      </c>
      <c r="K85" t="s">
        <v>27</v>
      </c>
      <c r="L85" t="s">
        <v>27</v>
      </c>
      <c r="M85">
        <v>62300</v>
      </c>
      <c r="N85" t="str">
        <f>"41.376445"</f>
        <v>41.376445</v>
      </c>
      <c r="O85" t="str">
        <f>"23.443122"</f>
        <v>23.443122</v>
      </c>
      <c r="P85" t="s">
        <v>28</v>
      </c>
      <c r="S85">
        <v>146052183</v>
      </c>
      <c r="T85" t="s">
        <v>30</v>
      </c>
      <c r="U85" t="s">
        <v>31</v>
      </c>
    </row>
    <row r="86" spans="1:21" x14ac:dyDescent="0.25">
      <c r="A86" t="s">
        <v>34</v>
      </c>
      <c r="B86" t="s">
        <v>22</v>
      </c>
      <c r="C86" t="s">
        <v>24</v>
      </c>
      <c r="D86" t="str">
        <f>"9520613"</f>
        <v>9520613</v>
      </c>
      <c r="E86" t="s">
        <v>35</v>
      </c>
      <c r="F86">
        <v>3</v>
      </c>
      <c r="G86">
        <v>2</v>
      </c>
      <c r="H86">
        <v>2321046507</v>
      </c>
      <c r="I86">
        <v>2321046507</v>
      </c>
      <c r="J86" t="s">
        <v>36</v>
      </c>
      <c r="K86" t="s">
        <v>22</v>
      </c>
      <c r="L86" t="s">
        <v>37</v>
      </c>
      <c r="M86">
        <v>62124</v>
      </c>
      <c r="N86" t="str">
        <f>"41.082479"</f>
        <v>41.082479</v>
      </c>
      <c r="O86" t="str">
        <f>"23.549795"</f>
        <v>23.549795</v>
      </c>
      <c r="P86" t="s">
        <v>28</v>
      </c>
      <c r="R86">
        <v>579960</v>
      </c>
      <c r="S86">
        <v>39284714</v>
      </c>
      <c r="T86" t="s">
        <v>38</v>
      </c>
      <c r="U86" t="s">
        <v>39</v>
      </c>
    </row>
    <row r="87" spans="1:21" x14ac:dyDescent="0.25">
      <c r="A87" t="s">
        <v>34</v>
      </c>
      <c r="B87" t="s">
        <v>22</v>
      </c>
      <c r="C87" t="s">
        <v>24</v>
      </c>
      <c r="D87" t="str">
        <f>"9440357"</f>
        <v>9440357</v>
      </c>
      <c r="E87" t="s">
        <v>47</v>
      </c>
      <c r="F87">
        <v>1</v>
      </c>
      <c r="G87">
        <v>2</v>
      </c>
      <c r="H87">
        <v>2321023238</v>
      </c>
      <c r="J87" t="s">
        <v>48</v>
      </c>
      <c r="K87" t="s">
        <v>22</v>
      </c>
      <c r="L87" t="s">
        <v>49</v>
      </c>
      <c r="M87">
        <v>62125</v>
      </c>
      <c r="N87" t="str">
        <f>"41.086909"</f>
        <v>41.086909</v>
      </c>
      <c r="O87" t="str">
        <f>"23.537384"</f>
        <v>23.537384</v>
      </c>
      <c r="P87" t="s">
        <v>28</v>
      </c>
      <c r="R87">
        <v>611156</v>
      </c>
      <c r="S87">
        <v>100872991</v>
      </c>
      <c r="T87" t="s">
        <v>50</v>
      </c>
      <c r="U87" t="s">
        <v>39</v>
      </c>
    </row>
    <row r="88" spans="1:21" x14ac:dyDescent="0.25">
      <c r="A88" t="s">
        <v>34</v>
      </c>
      <c r="B88" t="s">
        <v>22</v>
      </c>
      <c r="C88" t="s">
        <v>24</v>
      </c>
      <c r="D88" t="str">
        <f>"9520785"</f>
        <v>9520785</v>
      </c>
      <c r="E88" t="s">
        <v>51</v>
      </c>
      <c r="F88">
        <v>2</v>
      </c>
      <c r="G88">
        <v>2</v>
      </c>
      <c r="H88">
        <v>2321047906</v>
      </c>
      <c r="J88" t="s">
        <v>52</v>
      </c>
      <c r="K88" t="s">
        <v>22</v>
      </c>
      <c r="L88" t="s">
        <v>53</v>
      </c>
      <c r="M88">
        <v>62100</v>
      </c>
      <c r="N88" t="str">
        <f>"41.079481"</f>
        <v>41.079481</v>
      </c>
      <c r="O88" t="str">
        <f>"23.533874"</f>
        <v>23.533874</v>
      </c>
      <c r="P88" t="s">
        <v>28</v>
      </c>
      <c r="R88">
        <v>586886</v>
      </c>
      <c r="S88">
        <v>101959768</v>
      </c>
      <c r="T88" t="s">
        <v>54</v>
      </c>
      <c r="U88" t="s">
        <v>31</v>
      </c>
    </row>
    <row r="89" spans="1:21" x14ac:dyDescent="0.25">
      <c r="A89" t="s">
        <v>34</v>
      </c>
      <c r="B89" t="s">
        <v>22</v>
      </c>
      <c r="C89" t="s">
        <v>24</v>
      </c>
      <c r="D89" t="str">
        <f>"9520788"</f>
        <v>9520788</v>
      </c>
      <c r="E89" t="s">
        <v>61</v>
      </c>
      <c r="F89">
        <v>1</v>
      </c>
      <c r="G89">
        <v>1</v>
      </c>
      <c r="H89">
        <v>2321020447</v>
      </c>
      <c r="J89" t="s">
        <v>62</v>
      </c>
      <c r="K89" t="s">
        <v>22</v>
      </c>
      <c r="L89" t="s">
        <v>63</v>
      </c>
      <c r="M89">
        <v>62121</v>
      </c>
      <c r="N89" t="str">
        <f>"41.087341"</f>
        <v>41.087341</v>
      </c>
      <c r="O89" t="str">
        <f>"23.539250"</f>
        <v>23.539250</v>
      </c>
      <c r="P89" t="s">
        <v>28</v>
      </c>
      <c r="R89">
        <v>571650</v>
      </c>
      <c r="S89">
        <v>48070746</v>
      </c>
      <c r="T89" t="s">
        <v>64</v>
      </c>
      <c r="U89" t="s">
        <v>31</v>
      </c>
    </row>
    <row r="90" spans="1:21" x14ac:dyDescent="0.25">
      <c r="A90" t="s">
        <v>65</v>
      </c>
      <c r="B90" t="s">
        <v>22</v>
      </c>
      <c r="C90" t="s">
        <v>24</v>
      </c>
      <c r="D90" t="str">
        <f>"9440166"</f>
        <v>9440166</v>
      </c>
      <c r="E90" t="s">
        <v>68</v>
      </c>
      <c r="F90">
        <v>1</v>
      </c>
      <c r="G90">
        <v>2</v>
      </c>
      <c r="H90">
        <v>2321078855</v>
      </c>
      <c r="J90" t="s">
        <v>69</v>
      </c>
      <c r="K90" t="s">
        <v>67</v>
      </c>
      <c r="L90" t="s">
        <v>70</v>
      </c>
      <c r="M90">
        <v>62100</v>
      </c>
      <c r="N90" t="str">
        <f>"41.100145"</f>
        <v>41.100145</v>
      </c>
      <c r="O90" t="str">
        <f>"23.422572"</f>
        <v>23.422572</v>
      </c>
      <c r="P90" t="s">
        <v>28</v>
      </c>
      <c r="R90">
        <v>606083</v>
      </c>
      <c r="S90">
        <v>113356082</v>
      </c>
      <c r="T90" t="s">
        <v>71</v>
      </c>
      <c r="U90" t="s">
        <v>39</v>
      </c>
    </row>
    <row r="91" spans="1:21" x14ac:dyDescent="0.25">
      <c r="A91" t="s">
        <v>34</v>
      </c>
      <c r="B91" t="s">
        <v>22</v>
      </c>
      <c r="C91" t="s">
        <v>24</v>
      </c>
      <c r="D91" t="str">
        <f>"9440173"</f>
        <v>9440173</v>
      </c>
      <c r="E91" t="s">
        <v>72</v>
      </c>
      <c r="F91">
        <v>2</v>
      </c>
      <c r="G91">
        <v>2</v>
      </c>
      <c r="H91">
        <v>2321050353</v>
      </c>
      <c r="J91" t="s">
        <v>73</v>
      </c>
      <c r="K91" t="s">
        <v>66</v>
      </c>
      <c r="L91" t="s">
        <v>74</v>
      </c>
      <c r="M91">
        <v>62121</v>
      </c>
      <c r="N91" t="str">
        <f>"41.099869"</f>
        <v>41.099869</v>
      </c>
      <c r="O91" t="str">
        <f>"23.495823"</f>
        <v>23.495823</v>
      </c>
      <c r="P91" t="s">
        <v>28</v>
      </c>
      <c r="R91">
        <v>595630</v>
      </c>
      <c r="S91">
        <v>70218577</v>
      </c>
      <c r="T91" t="s">
        <v>75</v>
      </c>
      <c r="U91" t="s">
        <v>39</v>
      </c>
    </row>
    <row r="92" spans="1:21" x14ac:dyDescent="0.25">
      <c r="A92" t="s">
        <v>65</v>
      </c>
      <c r="B92" t="s">
        <v>80</v>
      </c>
      <c r="C92" t="s">
        <v>24</v>
      </c>
      <c r="D92" t="str">
        <f>"9440109"</f>
        <v>9440109</v>
      </c>
      <c r="E92" t="s">
        <v>82</v>
      </c>
      <c r="F92">
        <v>2</v>
      </c>
      <c r="G92">
        <v>2</v>
      </c>
      <c r="H92">
        <v>2321032632</v>
      </c>
      <c r="I92">
        <v>2321032632</v>
      </c>
      <c r="J92" t="s">
        <v>83</v>
      </c>
      <c r="K92" t="s">
        <v>81</v>
      </c>
      <c r="L92" t="s">
        <v>84</v>
      </c>
      <c r="M92">
        <v>62044</v>
      </c>
      <c r="N92" t="str">
        <f>"41.021801"</f>
        <v>41.021801</v>
      </c>
      <c r="O92" t="str">
        <f>"23.604164"</f>
        <v>23.604164</v>
      </c>
      <c r="P92" t="s">
        <v>28</v>
      </c>
      <c r="R92">
        <v>596218</v>
      </c>
      <c r="S92">
        <v>34542313</v>
      </c>
      <c r="T92" t="s">
        <v>85</v>
      </c>
      <c r="U92" t="s">
        <v>39</v>
      </c>
    </row>
    <row r="93" spans="1:21" x14ac:dyDescent="0.25">
      <c r="A93" t="s">
        <v>65</v>
      </c>
      <c r="B93" t="s">
        <v>80</v>
      </c>
      <c r="C93" t="s">
        <v>24</v>
      </c>
      <c r="D93" t="str">
        <f>"9440115"</f>
        <v>9440115</v>
      </c>
      <c r="E93" t="s">
        <v>87</v>
      </c>
      <c r="F93">
        <v>1</v>
      </c>
      <c r="G93">
        <v>2</v>
      </c>
      <c r="H93">
        <v>2321076695</v>
      </c>
      <c r="I93">
        <v>2321076695</v>
      </c>
      <c r="J93" t="s">
        <v>88</v>
      </c>
      <c r="K93" t="s">
        <v>86</v>
      </c>
      <c r="L93" t="s">
        <v>89</v>
      </c>
      <c r="M93">
        <v>62100</v>
      </c>
      <c r="N93" t="str">
        <f>"41.053473"</f>
        <v>41.053473</v>
      </c>
      <c r="O93" t="str">
        <f>"23.580139"</f>
        <v>23.580139</v>
      </c>
      <c r="P93" t="s">
        <v>28</v>
      </c>
      <c r="R93">
        <v>606147</v>
      </c>
      <c r="S93">
        <v>120106790</v>
      </c>
      <c r="T93" t="s">
        <v>90</v>
      </c>
      <c r="U93" t="s">
        <v>39</v>
      </c>
    </row>
    <row r="94" spans="1:21" x14ac:dyDescent="0.25">
      <c r="A94" t="s">
        <v>34</v>
      </c>
      <c r="B94" t="s">
        <v>22</v>
      </c>
      <c r="C94" t="s">
        <v>24</v>
      </c>
      <c r="D94" t="str">
        <f>"9440143"</f>
        <v>9440143</v>
      </c>
      <c r="E94" t="s">
        <v>96</v>
      </c>
      <c r="F94">
        <v>1</v>
      </c>
      <c r="G94">
        <v>2</v>
      </c>
      <c r="H94">
        <v>2321021836</v>
      </c>
      <c r="I94">
        <v>2321021836</v>
      </c>
      <c r="J94" t="s">
        <v>97</v>
      </c>
      <c r="K94" t="s">
        <v>22</v>
      </c>
      <c r="L94" t="s">
        <v>98</v>
      </c>
      <c r="M94">
        <v>62121</v>
      </c>
      <c r="N94" t="str">
        <f>"41.093252"</f>
        <v>41.093252</v>
      </c>
      <c r="O94" t="str">
        <f>"23.546440"</f>
        <v>23.546440</v>
      </c>
      <c r="P94" t="s">
        <v>28</v>
      </c>
      <c r="R94">
        <v>587075</v>
      </c>
      <c r="S94">
        <v>35743090</v>
      </c>
      <c r="T94" t="s">
        <v>99</v>
      </c>
      <c r="U94" t="s">
        <v>39</v>
      </c>
    </row>
    <row r="95" spans="1:21" x14ac:dyDescent="0.25">
      <c r="A95" t="s">
        <v>34</v>
      </c>
      <c r="B95" t="s">
        <v>22</v>
      </c>
      <c r="C95" t="s">
        <v>24</v>
      </c>
      <c r="D95" t="str">
        <f>"9440074"</f>
        <v>9440074</v>
      </c>
      <c r="E95" t="s">
        <v>104</v>
      </c>
      <c r="F95">
        <v>2</v>
      </c>
      <c r="G95">
        <v>2</v>
      </c>
      <c r="H95">
        <v>2321035913</v>
      </c>
      <c r="J95" t="s">
        <v>105</v>
      </c>
      <c r="K95" t="s">
        <v>22</v>
      </c>
      <c r="L95" t="s">
        <v>106</v>
      </c>
      <c r="M95">
        <v>62124</v>
      </c>
      <c r="N95" t="str">
        <f>"41.080256"</f>
        <v>41.080256</v>
      </c>
      <c r="O95" t="str">
        <f>"23.548435"</f>
        <v>23.548435</v>
      </c>
      <c r="P95" t="s">
        <v>28</v>
      </c>
      <c r="R95">
        <v>588027</v>
      </c>
      <c r="S95">
        <v>33844587</v>
      </c>
      <c r="T95" t="s">
        <v>107</v>
      </c>
      <c r="U95" t="s">
        <v>39</v>
      </c>
    </row>
    <row r="96" spans="1:21" x14ac:dyDescent="0.25">
      <c r="A96" t="s">
        <v>34</v>
      </c>
      <c r="B96" t="s">
        <v>22</v>
      </c>
      <c r="C96" t="s">
        <v>24</v>
      </c>
      <c r="D96" t="str">
        <f>"9440078"</f>
        <v>9440078</v>
      </c>
      <c r="E96" t="s">
        <v>108</v>
      </c>
      <c r="F96">
        <v>1</v>
      </c>
      <c r="G96">
        <v>2</v>
      </c>
      <c r="H96">
        <v>2321037978</v>
      </c>
      <c r="I96">
        <v>2321037978</v>
      </c>
      <c r="J96" t="s">
        <v>109</v>
      </c>
      <c r="K96" t="s">
        <v>22</v>
      </c>
      <c r="L96" t="s">
        <v>110</v>
      </c>
      <c r="M96">
        <v>62124</v>
      </c>
      <c r="N96" t="str">
        <f>"41.081534"</f>
        <v>41.081534</v>
      </c>
      <c r="O96" t="str">
        <f>"23.554638"</f>
        <v>23.554638</v>
      </c>
      <c r="P96" t="s">
        <v>28</v>
      </c>
      <c r="R96">
        <v>588013</v>
      </c>
      <c r="S96">
        <v>51863296</v>
      </c>
      <c r="T96" t="s">
        <v>111</v>
      </c>
      <c r="U96" t="s">
        <v>39</v>
      </c>
    </row>
    <row r="97" spans="1:21" x14ac:dyDescent="0.25">
      <c r="A97" t="s">
        <v>34</v>
      </c>
      <c r="B97" t="s">
        <v>22</v>
      </c>
      <c r="C97" t="s">
        <v>24</v>
      </c>
      <c r="D97" t="str">
        <f>"9440144"</f>
        <v>9440144</v>
      </c>
      <c r="E97" t="s">
        <v>112</v>
      </c>
      <c r="F97">
        <v>2</v>
      </c>
      <c r="G97">
        <v>2</v>
      </c>
      <c r="H97">
        <v>2321038166</v>
      </c>
      <c r="I97">
        <v>2321038166</v>
      </c>
      <c r="J97" t="s">
        <v>113</v>
      </c>
      <c r="K97" t="s">
        <v>22</v>
      </c>
      <c r="L97" t="s">
        <v>114</v>
      </c>
      <c r="M97">
        <v>62125</v>
      </c>
      <c r="N97" t="str">
        <f>"41.078969"</f>
        <v>41.078969</v>
      </c>
      <c r="O97" t="str">
        <f>"23.536037"</f>
        <v>23.536037</v>
      </c>
      <c r="P97" t="s">
        <v>28</v>
      </c>
      <c r="R97">
        <v>588110</v>
      </c>
      <c r="S97">
        <v>63583726</v>
      </c>
      <c r="T97" t="s">
        <v>115</v>
      </c>
      <c r="U97" t="s">
        <v>31</v>
      </c>
    </row>
    <row r="98" spans="1:21" x14ac:dyDescent="0.25">
      <c r="A98" t="s">
        <v>34</v>
      </c>
      <c r="B98" t="s">
        <v>22</v>
      </c>
      <c r="C98" t="s">
        <v>24</v>
      </c>
      <c r="D98" t="str">
        <f>"9440154"</f>
        <v>9440154</v>
      </c>
      <c r="E98" t="s">
        <v>116</v>
      </c>
      <c r="F98">
        <v>2</v>
      </c>
      <c r="G98">
        <v>2</v>
      </c>
      <c r="H98">
        <v>2321045632</v>
      </c>
      <c r="J98" t="s">
        <v>117</v>
      </c>
      <c r="K98" t="s">
        <v>22</v>
      </c>
      <c r="L98" t="s">
        <v>118</v>
      </c>
      <c r="M98">
        <v>62125</v>
      </c>
      <c r="N98" t="str">
        <f>"41.081796"</f>
        <v>41.081796</v>
      </c>
      <c r="O98" t="str">
        <f>"23.532034"</f>
        <v>23.532034</v>
      </c>
      <c r="P98" t="s">
        <v>28</v>
      </c>
      <c r="R98">
        <v>569305</v>
      </c>
      <c r="S98">
        <v>70212850</v>
      </c>
      <c r="T98" t="s">
        <v>119</v>
      </c>
      <c r="U98" t="s">
        <v>39</v>
      </c>
    </row>
    <row r="99" spans="1:21" x14ac:dyDescent="0.25">
      <c r="A99" t="s">
        <v>34</v>
      </c>
      <c r="B99" t="s">
        <v>22</v>
      </c>
      <c r="C99" t="s">
        <v>24</v>
      </c>
      <c r="D99" t="str">
        <f>"9440142"</f>
        <v>9440142</v>
      </c>
      <c r="E99" t="s">
        <v>120</v>
      </c>
      <c r="F99">
        <v>2</v>
      </c>
      <c r="G99">
        <v>2</v>
      </c>
      <c r="H99">
        <v>2321054417</v>
      </c>
      <c r="J99" t="s">
        <v>121</v>
      </c>
      <c r="K99" t="s">
        <v>22</v>
      </c>
      <c r="L99" t="s">
        <v>49</v>
      </c>
      <c r="M99">
        <v>62121</v>
      </c>
      <c r="N99" t="str">
        <f>"41.086608"</f>
        <v>41.086608</v>
      </c>
      <c r="O99" t="str">
        <f>"23.537437"</f>
        <v>23.537437</v>
      </c>
      <c r="P99" t="s">
        <v>28</v>
      </c>
      <c r="R99">
        <v>600394</v>
      </c>
      <c r="S99">
        <v>50880547</v>
      </c>
      <c r="T99" t="s">
        <v>122</v>
      </c>
      <c r="U99" t="s">
        <v>39</v>
      </c>
    </row>
    <row r="100" spans="1:21" x14ac:dyDescent="0.25">
      <c r="A100" t="s">
        <v>34</v>
      </c>
      <c r="B100" t="s">
        <v>22</v>
      </c>
      <c r="C100" t="s">
        <v>24</v>
      </c>
      <c r="D100" t="str">
        <f>"9440358"</f>
        <v>9440358</v>
      </c>
      <c r="E100" t="s">
        <v>123</v>
      </c>
      <c r="F100">
        <v>3</v>
      </c>
      <c r="G100">
        <v>2</v>
      </c>
      <c r="H100">
        <v>2321021468</v>
      </c>
      <c r="I100">
        <v>2321023660</v>
      </c>
      <c r="J100" t="s">
        <v>124</v>
      </c>
      <c r="K100" t="s">
        <v>22</v>
      </c>
      <c r="L100" t="s">
        <v>125</v>
      </c>
      <c r="M100">
        <v>62121</v>
      </c>
      <c r="N100" t="str">
        <f>"41.091071"</f>
        <v>41.091071</v>
      </c>
      <c r="O100" t="str">
        <f>"23.544455"</f>
        <v>23.544455</v>
      </c>
      <c r="P100" t="s">
        <v>28</v>
      </c>
      <c r="R100">
        <v>595671</v>
      </c>
      <c r="S100">
        <v>57641465</v>
      </c>
      <c r="T100" t="s">
        <v>126</v>
      </c>
      <c r="U100" t="s">
        <v>39</v>
      </c>
    </row>
    <row r="101" spans="1:21" x14ac:dyDescent="0.25">
      <c r="A101" t="s">
        <v>34</v>
      </c>
      <c r="B101" t="s">
        <v>22</v>
      </c>
      <c r="C101" t="s">
        <v>24</v>
      </c>
      <c r="D101" t="str">
        <f>"9440373"</f>
        <v>9440373</v>
      </c>
      <c r="E101" t="s">
        <v>127</v>
      </c>
      <c r="F101">
        <v>3</v>
      </c>
      <c r="G101">
        <v>2</v>
      </c>
      <c r="H101">
        <v>2321046149</v>
      </c>
      <c r="J101" t="s">
        <v>128</v>
      </c>
      <c r="K101" t="s">
        <v>22</v>
      </c>
      <c r="L101" t="s">
        <v>129</v>
      </c>
      <c r="M101">
        <v>62125</v>
      </c>
      <c r="N101" t="str">
        <f>"41.082408"</f>
        <v>41.082408</v>
      </c>
      <c r="O101" t="str">
        <f>"23.535330"</f>
        <v>23.535330</v>
      </c>
      <c r="P101" t="s">
        <v>29</v>
      </c>
      <c r="Q101">
        <v>1</v>
      </c>
      <c r="R101">
        <v>586931</v>
      </c>
      <c r="S101">
        <v>68570800</v>
      </c>
      <c r="T101" t="s">
        <v>130</v>
      </c>
      <c r="U101" t="s">
        <v>31</v>
      </c>
    </row>
    <row r="102" spans="1:21" x14ac:dyDescent="0.25">
      <c r="A102" t="s">
        <v>34</v>
      </c>
      <c r="B102" t="s">
        <v>22</v>
      </c>
      <c r="C102" t="s">
        <v>24</v>
      </c>
      <c r="D102" t="str">
        <f>"9440384"</f>
        <v>9440384</v>
      </c>
      <c r="E102" t="s">
        <v>131</v>
      </c>
      <c r="F102">
        <v>2</v>
      </c>
      <c r="G102">
        <v>2</v>
      </c>
      <c r="H102">
        <v>2321037317</v>
      </c>
      <c r="J102" t="s">
        <v>132</v>
      </c>
      <c r="K102" t="s">
        <v>22</v>
      </c>
      <c r="L102" t="s">
        <v>133</v>
      </c>
      <c r="M102">
        <v>62125</v>
      </c>
      <c r="N102" t="str">
        <f>"41.086613"</f>
        <v>41.086613</v>
      </c>
      <c r="O102" t="str">
        <f>"23.543062"</f>
        <v>23.543062</v>
      </c>
      <c r="P102" t="s">
        <v>28</v>
      </c>
      <c r="R102">
        <v>582934</v>
      </c>
      <c r="S102">
        <v>45712152</v>
      </c>
      <c r="T102" t="s">
        <v>134</v>
      </c>
      <c r="U102" t="s">
        <v>31</v>
      </c>
    </row>
    <row r="103" spans="1:21" x14ac:dyDescent="0.25">
      <c r="A103" t="s">
        <v>34</v>
      </c>
      <c r="B103" t="s">
        <v>22</v>
      </c>
      <c r="C103" t="s">
        <v>24</v>
      </c>
      <c r="D103" t="str">
        <f>"9440076"</f>
        <v>9440076</v>
      </c>
      <c r="E103" t="s">
        <v>153</v>
      </c>
      <c r="F103">
        <v>2</v>
      </c>
      <c r="G103">
        <v>2</v>
      </c>
      <c r="H103">
        <v>2321038155</v>
      </c>
      <c r="J103" t="s">
        <v>154</v>
      </c>
      <c r="K103" t="s">
        <v>22</v>
      </c>
      <c r="L103" t="s">
        <v>155</v>
      </c>
      <c r="M103">
        <v>62124</v>
      </c>
      <c r="N103" t="str">
        <f>"41.082835"</f>
        <v>41.082835</v>
      </c>
      <c r="O103" t="str">
        <f>"23.546354"</f>
        <v>23.546354</v>
      </c>
      <c r="P103" t="s">
        <v>28</v>
      </c>
      <c r="R103">
        <v>592341</v>
      </c>
      <c r="S103">
        <v>120103056</v>
      </c>
      <c r="T103" t="s">
        <v>156</v>
      </c>
      <c r="U103" t="s">
        <v>31</v>
      </c>
    </row>
    <row r="104" spans="1:21" x14ac:dyDescent="0.25">
      <c r="A104" t="s">
        <v>34</v>
      </c>
      <c r="B104" t="s">
        <v>22</v>
      </c>
      <c r="C104" t="s">
        <v>24</v>
      </c>
      <c r="D104" t="str">
        <f>"9440396"</f>
        <v>9440396</v>
      </c>
      <c r="E104" t="s">
        <v>157</v>
      </c>
      <c r="F104">
        <v>2</v>
      </c>
      <c r="G104">
        <v>2</v>
      </c>
      <c r="H104">
        <v>2321035821</v>
      </c>
      <c r="J104" t="s">
        <v>158</v>
      </c>
      <c r="K104" t="s">
        <v>22</v>
      </c>
      <c r="L104" t="s">
        <v>159</v>
      </c>
      <c r="M104">
        <v>62123</v>
      </c>
      <c r="N104" t="str">
        <f>"41.083687"</f>
        <v>41.083687</v>
      </c>
      <c r="O104" t="str">
        <f>"23.547614"</f>
        <v>23.547614</v>
      </c>
      <c r="P104" t="s">
        <v>28</v>
      </c>
      <c r="R104">
        <v>552232</v>
      </c>
      <c r="S104">
        <v>100862819</v>
      </c>
      <c r="T104" t="s">
        <v>160</v>
      </c>
      <c r="U104" t="s">
        <v>39</v>
      </c>
    </row>
    <row r="105" spans="1:21" x14ac:dyDescent="0.25">
      <c r="A105" t="s">
        <v>34</v>
      </c>
      <c r="B105" t="s">
        <v>22</v>
      </c>
      <c r="C105" t="s">
        <v>24</v>
      </c>
      <c r="D105" t="str">
        <f>"9440403"</f>
        <v>9440403</v>
      </c>
      <c r="E105" t="s">
        <v>170</v>
      </c>
      <c r="F105">
        <v>1</v>
      </c>
      <c r="G105">
        <v>1</v>
      </c>
      <c r="H105">
        <v>2321023238</v>
      </c>
      <c r="J105" t="s">
        <v>171</v>
      </c>
      <c r="K105" t="s">
        <v>22</v>
      </c>
      <c r="L105" t="s">
        <v>49</v>
      </c>
      <c r="M105">
        <v>62125</v>
      </c>
      <c r="N105" t="str">
        <f>"41.086942"</f>
        <v>41.086942</v>
      </c>
      <c r="O105" t="str">
        <f>"23.537555"</f>
        <v>23.537555</v>
      </c>
      <c r="P105" t="s">
        <v>28</v>
      </c>
      <c r="R105">
        <v>615192</v>
      </c>
      <c r="S105">
        <v>118969096</v>
      </c>
      <c r="T105" t="s">
        <v>172</v>
      </c>
      <c r="U105" t="s">
        <v>39</v>
      </c>
    </row>
    <row r="106" spans="1:21" x14ac:dyDescent="0.25">
      <c r="A106" t="s">
        <v>34</v>
      </c>
      <c r="B106" t="s">
        <v>22</v>
      </c>
      <c r="C106" t="s">
        <v>24</v>
      </c>
      <c r="D106" t="str">
        <f>"9440404"</f>
        <v>9440404</v>
      </c>
      <c r="E106" t="s">
        <v>178</v>
      </c>
      <c r="F106">
        <v>1</v>
      </c>
      <c r="G106">
        <v>2</v>
      </c>
      <c r="H106">
        <v>2321059773</v>
      </c>
      <c r="J106" t="s">
        <v>179</v>
      </c>
      <c r="K106" t="s">
        <v>22</v>
      </c>
      <c r="L106" t="s">
        <v>133</v>
      </c>
      <c r="M106">
        <v>62125</v>
      </c>
      <c r="N106" t="str">
        <f>"41.086613"</f>
        <v>41.086613</v>
      </c>
      <c r="O106" t="str">
        <f>"23.543062"</f>
        <v>23.543062</v>
      </c>
      <c r="P106" t="s">
        <v>28</v>
      </c>
      <c r="R106">
        <v>569242</v>
      </c>
      <c r="S106">
        <v>43100951</v>
      </c>
      <c r="T106" t="s">
        <v>180</v>
      </c>
      <c r="U106" t="s">
        <v>31</v>
      </c>
    </row>
    <row r="107" spans="1:21" x14ac:dyDescent="0.25">
      <c r="A107" t="s">
        <v>34</v>
      </c>
      <c r="B107" t="s">
        <v>22</v>
      </c>
      <c r="C107" t="s">
        <v>24</v>
      </c>
      <c r="D107" t="str">
        <f>"9440416"</f>
        <v>9440416</v>
      </c>
      <c r="E107" t="s">
        <v>181</v>
      </c>
      <c r="F107">
        <v>2</v>
      </c>
      <c r="G107">
        <v>2</v>
      </c>
      <c r="H107">
        <v>2321055744</v>
      </c>
      <c r="I107">
        <v>2321023660</v>
      </c>
      <c r="J107" t="s">
        <v>182</v>
      </c>
      <c r="K107" t="s">
        <v>22</v>
      </c>
      <c r="L107" t="s">
        <v>125</v>
      </c>
      <c r="M107">
        <v>62121</v>
      </c>
      <c r="N107" t="str">
        <f>"41.091112"</f>
        <v>41.091112</v>
      </c>
      <c r="O107" t="str">
        <f>"23.544080"</f>
        <v>23.544080</v>
      </c>
      <c r="P107" t="s">
        <v>28</v>
      </c>
      <c r="R107">
        <v>574461</v>
      </c>
      <c r="S107">
        <v>142662572</v>
      </c>
      <c r="T107" t="s">
        <v>183</v>
      </c>
      <c r="U107" t="s">
        <v>39</v>
      </c>
    </row>
    <row r="108" spans="1:21" x14ac:dyDescent="0.25">
      <c r="A108" t="s">
        <v>34</v>
      </c>
      <c r="B108" t="s">
        <v>22</v>
      </c>
      <c r="C108" t="s">
        <v>24</v>
      </c>
      <c r="D108" t="str">
        <f>"9440419"</f>
        <v>9440419</v>
      </c>
      <c r="E108" t="s">
        <v>184</v>
      </c>
      <c r="F108">
        <v>1</v>
      </c>
      <c r="G108">
        <v>2</v>
      </c>
      <c r="H108">
        <v>2321020447</v>
      </c>
      <c r="J108" t="s">
        <v>185</v>
      </c>
      <c r="K108" t="s">
        <v>22</v>
      </c>
      <c r="L108" t="s">
        <v>44</v>
      </c>
      <c r="M108">
        <v>62121</v>
      </c>
      <c r="N108" t="str">
        <f>"41.087341"</f>
        <v>41.087341</v>
      </c>
      <c r="O108" t="str">
        <f>"23.539250"</f>
        <v>23.539250</v>
      </c>
      <c r="P108" t="s">
        <v>28</v>
      </c>
      <c r="R108">
        <v>600156</v>
      </c>
      <c r="S108">
        <v>50947328</v>
      </c>
      <c r="T108" t="s">
        <v>186</v>
      </c>
      <c r="U108" t="s">
        <v>31</v>
      </c>
    </row>
    <row r="109" spans="1:21" x14ac:dyDescent="0.25">
      <c r="A109" t="s">
        <v>187</v>
      </c>
      <c r="B109" t="s">
        <v>188</v>
      </c>
      <c r="C109" t="s">
        <v>24</v>
      </c>
      <c r="D109" t="str">
        <f>"9440335"</f>
        <v>9440335</v>
      </c>
      <c r="E109" t="s">
        <v>190</v>
      </c>
      <c r="F109">
        <v>1</v>
      </c>
      <c r="G109">
        <v>2</v>
      </c>
      <c r="H109">
        <v>2324093783</v>
      </c>
      <c r="I109">
        <v>2324093783</v>
      </c>
      <c r="J109" t="s">
        <v>191</v>
      </c>
      <c r="K109" t="s">
        <v>189</v>
      </c>
      <c r="L109" t="s">
        <v>192</v>
      </c>
      <c r="M109">
        <v>62041</v>
      </c>
      <c r="N109" t="str">
        <f>"40.871077"</f>
        <v>40.871077</v>
      </c>
      <c r="O109" t="str">
        <f>"23.906969"</f>
        <v>23.906969</v>
      </c>
      <c r="P109" t="s">
        <v>29</v>
      </c>
      <c r="R109">
        <v>596940</v>
      </c>
      <c r="S109">
        <v>51530188</v>
      </c>
      <c r="T109" t="s">
        <v>193</v>
      </c>
      <c r="U109" t="s">
        <v>39</v>
      </c>
    </row>
    <row r="110" spans="1:21" x14ac:dyDescent="0.25">
      <c r="A110" t="s">
        <v>199</v>
      </c>
      <c r="B110" t="s">
        <v>200</v>
      </c>
      <c r="C110" t="s">
        <v>24</v>
      </c>
      <c r="D110" t="str">
        <f>"9440047"</f>
        <v>9440047</v>
      </c>
      <c r="E110" t="s">
        <v>201</v>
      </c>
      <c r="F110">
        <v>1</v>
      </c>
      <c r="G110">
        <v>1</v>
      </c>
      <c r="H110">
        <v>2322051067</v>
      </c>
      <c r="J110" t="s">
        <v>202</v>
      </c>
      <c r="K110" t="s">
        <v>203</v>
      </c>
      <c r="L110" t="s">
        <v>204</v>
      </c>
      <c r="M110">
        <v>62200</v>
      </c>
      <c r="N110" t="str">
        <f>"40.883112"</f>
        <v>40.883112</v>
      </c>
      <c r="O110" t="str">
        <f>"23.620190"</f>
        <v>23.620190</v>
      </c>
      <c r="P110" t="s">
        <v>28</v>
      </c>
      <c r="R110">
        <v>587163</v>
      </c>
      <c r="S110">
        <v>45417009</v>
      </c>
      <c r="T110" t="s">
        <v>205</v>
      </c>
      <c r="U110" t="s">
        <v>39</v>
      </c>
    </row>
    <row r="111" spans="1:21" x14ac:dyDescent="0.25">
      <c r="A111" t="s">
        <v>33</v>
      </c>
      <c r="B111" t="s">
        <v>200</v>
      </c>
      <c r="C111" t="s">
        <v>24</v>
      </c>
      <c r="D111" t="str">
        <f>"9440022"</f>
        <v>9440022</v>
      </c>
      <c r="E111" t="s">
        <v>206</v>
      </c>
      <c r="F111">
        <v>1</v>
      </c>
      <c r="G111">
        <v>1</v>
      </c>
      <c r="H111">
        <v>2322061251</v>
      </c>
      <c r="I111">
        <v>2322061251</v>
      </c>
      <c r="J111" t="s">
        <v>207</v>
      </c>
      <c r="K111" t="s">
        <v>208</v>
      </c>
      <c r="L111" t="s">
        <v>209</v>
      </c>
      <c r="M111">
        <v>62200</v>
      </c>
      <c r="N111" t="str">
        <f>"40.985229"</f>
        <v>40.985229</v>
      </c>
      <c r="O111" t="str">
        <f>"23.410731"</f>
        <v>23.410731</v>
      </c>
      <c r="P111" t="s">
        <v>28</v>
      </c>
      <c r="R111">
        <v>615208</v>
      </c>
      <c r="S111">
        <v>63078955</v>
      </c>
      <c r="T111" t="s">
        <v>210</v>
      </c>
      <c r="U111" t="s">
        <v>39</v>
      </c>
    </row>
    <row r="112" spans="1:21" x14ac:dyDescent="0.25">
      <c r="A112" t="s">
        <v>65</v>
      </c>
      <c r="B112" t="s">
        <v>80</v>
      </c>
      <c r="C112" t="s">
        <v>24</v>
      </c>
      <c r="D112" t="str">
        <f>"9440111"</f>
        <v>9440111</v>
      </c>
      <c r="E112" t="s">
        <v>216</v>
      </c>
      <c r="F112">
        <v>1</v>
      </c>
      <c r="G112">
        <v>2</v>
      </c>
      <c r="H112">
        <v>2321092676</v>
      </c>
      <c r="I112">
        <v>2321092676</v>
      </c>
      <c r="J112" t="s">
        <v>217</v>
      </c>
      <c r="K112" t="s">
        <v>218</v>
      </c>
      <c r="L112" t="s">
        <v>219</v>
      </c>
      <c r="M112">
        <v>62100</v>
      </c>
      <c r="N112" t="str">
        <f>"41.093568"</f>
        <v>41.093568</v>
      </c>
      <c r="O112" t="str">
        <f>"23.634631"</f>
        <v>23.634631</v>
      </c>
      <c r="P112" t="s">
        <v>29</v>
      </c>
      <c r="R112">
        <v>597284</v>
      </c>
      <c r="S112">
        <v>120136978</v>
      </c>
      <c r="T112" t="s">
        <v>220</v>
      </c>
      <c r="U112" t="s">
        <v>39</v>
      </c>
    </row>
    <row r="113" spans="1:21" x14ac:dyDescent="0.25">
      <c r="A113" t="s">
        <v>65</v>
      </c>
      <c r="B113" t="s">
        <v>80</v>
      </c>
      <c r="C113" t="s">
        <v>24</v>
      </c>
      <c r="D113" t="str">
        <f>"9440090"</f>
        <v>9440090</v>
      </c>
      <c r="E113" t="s">
        <v>221</v>
      </c>
      <c r="F113">
        <v>1</v>
      </c>
      <c r="G113">
        <v>1</v>
      </c>
      <c r="H113">
        <v>2321091289</v>
      </c>
      <c r="I113">
        <v>2321091289</v>
      </c>
      <c r="J113" t="s">
        <v>222</v>
      </c>
      <c r="L113" t="s">
        <v>223</v>
      </c>
      <c r="M113">
        <v>62048</v>
      </c>
      <c r="N113" t="str">
        <f>"41.099939"</f>
        <v>41.099939</v>
      </c>
      <c r="O113" t="str">
        <f>"23.677370"</f>
        <v>23.677370</v>
      </c>
      <c r="P113" t="s">
        <v>28</v>
      </c>
      <c r="R113">
        <v>611382</v>
      </c>
      <c r="S113">
        <v>79332599</v>
      </c>
      <c r="T113" t="s">
        <v>224</v>
      </c>
      <c r="U113" t="s">
        <v>39</v>
      </c>
    </row>
    <row r="114" spans="1:21" x14ac:dyDescent="0.25">
      <c r="A114" t="s">
        <v>65</v>
      </c>
      <c r="B114" t="s">
        <v>80</v>
      </c>
      <c r="C114" t="s">
        <v>24</v>
      </c>
      <c r="D114" t="str">
        <f>"9440122"</f>
        <v>9440122</v>
      </c>
      <c r="E114" t="s">
        <v>225</v>
      </c>
      <c r="F114">
        <v>1</v>
      </c>
      <c r="G114">
        <v>1</v>
      </c>
      <c r="H114">
        <v>2321071542</v>
      </c>
      <c r="J114" t="s">
        <v>226</v>
      </c>
      <c r="K114" t="s">
        <v>227</v>
      </c>
      <c r="L114" t="s">
        <v>228</v>
      </c>
      <c r="M114">
        <v>62048</v>
      </c>
      <c r="N114" t="str">
        <f>"41.047796"</f>
        <v>41.047796</v>
      </c>
      <c r="O114" t="str">
        <f>"23.685802"</f>
        <v>23.685802</v>
      </c>
      <c r="P114" t="s">
        <v>28</v>
      </c>
      <c r="R114">
        <v>615266</v>
      </c>
      <c r="S114">
        <v>36002980</v>
      </c>
      <c r="T114" t="s">
        <v>229</v>
      </c>
      <c r="U114" t="s">
        <v>39</v>
      </c>
    </row>
    <row r="115" spans="1:21" x14ac:dyDescent="0.25">
      <c r="A115" t="s">
        <v>230</v>
      </c>
      <c r="B115" t="s">
        <v>231</v>
      </c>
      <c r="C115" t="s">
        <v>24</v>
      </c>
      <c r="D115" t="str">
        <f>"9440306"</f>
        <v>9440306</v>
      </c>
      <c r="E115" t="s">
        <v>233</v>
      </c>
      <c r="F115">
        <v>2</v>
      </c>
      <c r="G115">
        <v>1</v>
      </c>
      <c r="H115">
        <v>2324051686</v>
      </c>
      <c r="I115">
        <v>2324051686</v>
      </c>
      <c r="J115" t="s">
        <v>234</v>
      </c>
      <c r="K115" t="s">
        <v>232</v>
      </c>
      <c r="L115" t="s">
        <v>235</v>
      </c>
      <c r="M115">
        <v>62052</v>
      </c>
      <c r="N115" t="str">
        <f>"40.925894"</f>
        <v>40.925894</v>
      </c>
      <c r="O115" t="str">
        <f>"23.870749"</f>
        <v>23.870749</v>
      </c>
      <c r="P115" t="s">
        <v>28</v>
      </c>
      <c r="R115">
        <v>700065</v>
      </c>
      <c r="S115">
        <v>133505704</v>
      </c>
      <c r="T115" t="s">
        <v>236</v>
      </c>
      <c r="U115" t="s">
        <v>39</v>
      </c>
    </row>
    <row r="116" spans="1:21" x14ac:dyDescent="0.25">
      <c r="A116" t="s">
        <v>230</v>
      </c>
      <c r="B116" t="s">
        <v>231</v>
      </c>
      <c r="C116" t="s">
        <v>24</v>
      </c>
      <c r="D116" t="str">
        <f>"9440293"</f>
        <v>9440293</v>
      </c>
      <c r="E116" t="s">
        <v>239</v>
      </c>
      <c r="F116">
        <v>2</v>
      </c>
      <c r="G116">
        <v>2</v>
      </c>
      <c r="H116">
        <v>2324031211</v>
      </c>
      <c r="I116">
        <v>2324031211</v>
      </c>
      <c r="J116" t="s">
        <v>240</v>
      </c>
      <c r="K116" t="s">
        <v>238</v>
      </c>
      <c r="L116" t="s">
        <v>241</v>
      </c>
      <c r="M116">
        <v>62045</v>
      </c>
      <c r="N116" t="str">
        <f>"41.065514"</f>
        <v>41.065514</v>
      </c>
      <c r="O116" t="str">
        <f>"23.954069"</f>
        <v>23.954069</v>
      </c>
      <c r="P116" t="s">
        <v>28</v>
      </c>
      <c r="R116">
        <v>616155</v>
      </c>
      <c r="S116">
        <v>113487518</v>
      </c>
      <c r="T116" t="s">
        <v>242</v>
      </c>
      <c r="U116" t="s">
        <v>39</v>
      </c>
    </row>
    <row r="117" spans="1:21" x14ac:dyDescent="0.25">
      <c r="A117" t="s">
        <v>33</v>
      </c>
      <c r="B117" t="s">
        <v>200</v>
      </c>
      <c r="C117" t="s">
        <v>24</v>
      </c>
      <c r="D117" t="str">
        <f>"9440053"</f>
        <v>9440053</v>
      </c>
      <c r="E117" t="s">
        <v>244</v>
      </c>
      <c r="F117">
        <v>1</v>
      </c>
      <c r="G117">
        <v>1</v>
      </c>
      <c r="H117">
        <v>2322061373</v>
      </c>
      <c r="J117" t="s">
        <v>245</v>
      </c>
      <c r="K117" t="s">
        <v>243</v>
      </c>
      <c r="L117" t="s">
        <v>246</v>
      </c>
      <c r="M117">
        <v>62200</v>
      </c>
      <c r="N117" t="str">
        <f>"40.979702"</f>
        <v>40.979702</v>
      </c>
      <c r="O117" t="str">
        <f>"23.354533"</f>
        <v>23.354533</v>
      </c>
      <c r="P117" t="s">
        <v>28</v>
      </c>
      <c r="R117">
        <v>619443</v>
      </c>
      <c r="S117">
        <v>77317539</v>
      </c>
      <c r="T117" t="s">
        <v>247</v>
      </c>
      <c r="U117" t="s">
        <v>39</v>
      </c>
    </row>
    <row r="118" spans="1:21" x14ac:dyDescent="0.25">
      <c r="A118" t="s">
        <v>230</v>
      </c>
      <c r="B118" t="s">
        <v>200</v>
      </c>
      <c r="C118" t="s">
        <v>24</v>
      </c>
      <c r="D118" t="str">
        <f>"9440038"</f>
        <v>9440038</v>
      </c>
      <c r="E118" t="s">
        <v>248</v>
      </c>
      <c r="F118">
        <v>2</v>
      </c>
      <c r="G118">
        <v>2</v>
      </c>
      <c r="H118">
        <v>2322031123</v>
      </c>
      <c r="I118">
        <v>2322031123</v>
      </c>
      <c r="J118" t="s">
        <v>249</v>
      </c>
      <c r="L118" t="s">
        <v>250</v>
      </c>
      <c r="M118">
        <v>62049</v>
      </c>
      <c r="N118" t="str">
        <f>"40.894606"</f>
        <v>40.894606</v>
      </c>
      <c r="O118" t="str">
        <f>"23.753173"</f>
        <v>23.753173</v>
      </c>
      <c r="P118" t="s">
        <v>28</v>
      </c>
      <c r="R118">
        <v>615470</v>
      </c>
      <c r="S118">
        <v>69768142</v>
      </c>
      <c r="T118" t="s">
        <v>251</v>
      </c>
      <c r="U118" t="s">
        <v>39</v>
      </c>
    </row>
    <row r="119" spans="1:21" x14ac:dyDescent="0.25">
      <c r="A119" t="s">
        <v>21</v>
      </c>
      <c r="B119" t="s">
        <v>23</v>
      </c>
      <c r="C119" t="s">
        <v>24</v>
      </c>
      <c r="D119" t="str">
        <f>"9440227"</f>
        <v>9440227</v>
      </c>
      <c r="E119" t="s">
        <v>254</v>
      </c>
      <c r="F119">
        <v>1</v>
      </c>
      <c r="G119">
        <v>1</v>
      </c>
      <c r="H119">
        <v>2327051376</v>
      </c>
      <c r="J119" t="s">
        <v>255</v>
      </c>
      <c r="K119" t="s">
        <v>253</v>
      </c>
      <c r="L119" t="s">
        <v>256</v>
      </c>
      <c r="M119">
        <v>62055</v>
      </c>
      <c r="N119" t="str">
        <f>"41.287775"</f>
        <v>41.287775</v>
      </c>
      <c r="O119" t="str">
        <f>"23.035280"</f>
        <v>23.035280</v>
      </c>
      <c r="P119" t="s">
        <v>28</v>
      </c>
      <c r="R119">
        <v>713887</v>
      </c>
      <c r="S119">
        <v>133469473</v>
      </c>
      <c r="T119" t="s">
        <v>257</v>
      </c>
      <c r="U119" t="s">
        <v>31</v>
      </c>
    </row>
    <row r="120" spans="1:21" x14ac:dyDescent="0.25">
      <c r="A120" t="s">
        <v>259</v>
      </c>
      <c r="B120" t="s">
        <v>23</v>
      </c>
      <c r="C120" t="s">
        <v>24</v>
      </c>
      <c r="D120" t="str">
        <f>"9440229"</f>
        <v>9440229</v>
      </c>
      <c r="E120" t="s">
        <v>261</v>
      </c>
      <c r="F120">
        <v>1</v>
      </c>
      <c r="G120">
        <v>1</v>
      </c>
      <c r="H120">
        <v>2323061201</v>
      </c>
      <c r="J120" t="s">
        <v>262</v>
      </c>
      <c r="K120" t="s">
        <v>260</v>
      </c>
      <c r="L120" t="s">
        <v>263</v>
      </c>
      <c r="M120">
        <v>62300</v>
      </c>
      <c r="N120" t="str">
        <f>"41.320000"</f>
        <v>41.320000</v>
      </c>
      <c r="O120" t="str">
        <f>"23.540000"</f>
        <v>23.540000</v>
      </c>
      <c r="P120" t="s">
        <v>28</v>
      </c>
      <c r="S120">
        <v>149421515</v>
      </c>
      <c r="T120" t="s">
        <v>264</v>
      </c>
      <c r="U120" t="s">
        <v>31</v>
      </c>
    </row>
    <row r="121" spans="1:21" x14ac:dyDescent="0.25">
      <c r="A121" t="s">
        <v>33</v>
      </c>
      <c r="B121" t="s">
        <v>231</v>
      </c>
      <c r="C121" t="s">
        <v>24</v>
      </c>
      <c r="D121" t="str">
        <f>"9440327"</f>
        <v>9440327</v>
      </c>
      <c r="E121" t="s">
        <v>265</v>
      </c>
      <c r="F121">
        <v>1</v>
      </c>
      <c r="G121">
        <v>2</v>
      </c>
      <c r="H121">
        <v>2324023488</v>
      </c>
      <c r="J121" t="s">
        <v>266</v>
      </c>
      <c r="K121" t="s">
        <v>237</v>
      </c>
      <c r="L121" t="s">
        <v>267</v>
      </c>
      <c r="M121">
        <v>62042</v>
      </c>
      <c r="N121" t="str">
        <f>"41.031382"</f>
        <v>41.031382</v>
      </c>
      <c r="O121" t="str">
        <f>"23.833421"</f>
        <v>23.833421</v>
      </c>
      <c r="P121" t="s">
        <v>28</v>
      </c>
      <c r="R121">
        <v>596836</v>
      </c>
      <c r="S121">
        <v>302036419</v>
      </c>
      <c r="T121" t="s">
        <v>268</v>
      </c>
      <c r="U121" t="s">
        <v>39</v>
      </c>
    </row>
    <row r="122" spans="1:21" x14ac:dyDescent="0.25">
      <c r="A122" t="s">
        <v>65</v>
      </c>
      <c r="B122" t="s">
        <v>22</v>
      </c>
      <c r="C122" t="s">
        <v>24</v>
      </c>
      <c r="D122" t="str">
        <f>"9440103"</f>
        <v>9440103</v>
      </c>
      <c r="E122" t="s">
        <v>271</v>
      </c>
      <c r="F122">
        <v>1</v>
      </c>
      <c r="G122">
        <v>2</v>
      </c>
      <c r="H122">
        <v>2321041460</v>
      </c>
      <c r="I122">
        <v>2321041460</v>
      </c>
      <c r="J122" t="s">
        <v>272</v>
      </c>
      <c r="K122" t="s">
        <v>270</v>
      </c>
      <c r="L122" t="s">
        <v>273</v>
      </c>
      <c r="M122">
        <v>62100</v>
      </c>
      <c r="N122" t="str">
        <f>"41.020267"</f>
        <v>41.020267</v>
      </c>
      <c r="O122" t="str">
        <f>"23.482726"</f>
        <v>23.482726</v>
      </c>
      <c r="P122" t="s">
        <v>28</v>
      </c>
      <c r="R122">
        <v>603213</v>
      </c>
      <c r="S122">
        <v>119001939</v>
      </c>
      <c r="T122" t="s">
        <v>274</v>
      </c>
      <c r="U122" t="s">
        <v>39</v>
      </c>
    </row>
    <row r="123" spans="1:21" x14ac:dyDescent="0.25">
      <c r="A123" t="s">
        <v>199</v>
      </c>
      <c r="B123" t="s">
        <v>23</v>
      </c>
      <c r="C123" t="s">
        <v>24</v>
      </c>
      <c r="D123" t="str">
        <f>"9440233"</f>
        <v>9440233</v>
      </c>
      <c r="E123" t="s">
        <v>276</v>
      </c>
      <c r="F123">
        <v>1</v>
      </c>
      <c r="G123">
        <v>1</v>
      </c>
      <c r="H123">
        <v>2323032520</v>
      </c>
      <c r="J123" t="s">
        <v>277</v>
      </c>
      <c r="K123" t="s">
        <v>275</v>
      </c>
      <c r="L123" t="s">
        <v>278</v>
      </c>
      <c r="M123">
        <v>62043</v>
      </c>
      <c r="N123" t="str">
        <f>"41.264232"</f>
        <v>41.264232</v>
      </c>
      <c r="O123" t="str">
        <f>"23.246331"</f>
        <v>23.246331</v>
      </c>
      <c r="P123" t="s">
        <v>28</v>
      </c>
      <c r="R123">
        <v>606452</v>
      </c>
      <c r="S123">
        <v>69777882</v>
      </c>
      <c r="T123" t="s">
        <v>279</v>
      </c>
      <c r="U123" t="s">
        <v>31</v>
      </c>
    </row>
    <row r="124" spans="1:21" x14ac:dyDescent="0.25">
      <c r="A124" t="s">
        <v>65</v>
      </c>
      <c r="B124" t="s">
        <v>80</v>
      </c>
      <c r="C124" t="s">
        <v>24</v>
      </c>
      <c r="D124" t="str">
        <f>"9440131"</f>
        <v>9440131</v>
      </c>
      <c r="E124" t="s">
        <v>281</v>
      </c>
      <c r="F124">
        <v>1</v>
      </c>
      <c r="G124">
        <v>1</v>
      </c>
      <c r="H124">
        <v>2321074610</v>
      </c>
      <c r="I124">
        <v>2321074610</v>
      </c>
      <c r="J124" t="s">
        <v>282</v>
      </c>
      <c r="K124" t="s">
        <v>280</v>
      </c>
      <c r="L124" t="s">
        <v>283</v>
      </c>
      <c r="M124">
        <v>62046</v>
      </c>
      <c r="N124" t="str">
        <f>"41.063074"</f>
        <v>41.063074</v>
      </c>
      <c r="O124" t="str">
        <f>"23.656755"</f>
        <v>23.656755</v>
      </c>
      <c r="P124" t="s">
        <v>28</v>
      </c>
      <c r="R124">
        <v>592030</v>
      </c>
      <c r="S124">
        <v>61314764</v>
      </c>
      <c r="T124" t="s">
        <v>284</v>
      </c>
      <c r="U124" t="s">
        <v>39</v>
      </c>
    </row>
    <row r="125" spans="1:21" x14ac:dyDescent="0.25">
      <c r="A125" t="s">
        <v>33</v>
      </c>
      <c r="B125" t="s">
        <v>80</v>
      </c>
      <c r="C125" t="s">
        <v>24</v>
      </c>
      <c r="D125" t="str">
        <f>"9440352"</f>
        <v>9440352</v>
      </c>
      <c r="E125" t="s">
        <v>286</v>
      </c>
      <c r="F125">
        <v>1</v>
      </c>
      <c r="G125">
        <v>1</v>
      </c>
      <c r="H125">
        <v>2321071283</v>
      </c>
      <c r="I125">
        <v>2321071283</v>
      </c>
      <c r="J125" t="s">
        <v>287</v>
      </c>
      <c r="K125" t="s">
        <v>285</v>
      </c>
      <c r="L125" t="s">
        <v>288</v>
      </c>
      <c r="M125">
        <v>62048</v>
      </c>
      <c r="N125" t="str">
        <f>"41.022679"</f>
        <v>41.022679</v>
      </c>
      <c r="O125" t="str">
        <f>"23.706166"</f>
        <v>23.706166</v>
      </c>
      <c r="P125" t="s">
        <v>28</v>
      </c>
      <c r="R125">
        <v>588018</v>
      </c>
      <c r="S125">
        <v>79765123</v>
      </c>
      <c r="T125" t="s">
        <v>289</v>
      </c>
      <c r="U125" t="s">
        <v>39</v>
      </c>
    </row>
    <row r="126" spans="1:21" x14ac:dyDescent="0.25">
      <c r="A126" t="s">
        <v>33</v>
      </c>
      <c r="B126" t="s">
        <v>23</v>
      </c>
      <c r="C126" t="s">
        <v>24</v>
      </c>
      <c r="D126" t="str">
        <f>"9440202"</f>
        <v>9440202</v>
      </c>
      <c r="E126" t="s">
        <v>291</v>
      </c>
      <c r="F126">
        <v>1</v>
      </c>
      <c r="G126">
        <v>1</v>
      </c>
      <c r="H126">
        <v>2323052047</v>
      </c>
      <c r="I126">
        <v>2323051428</v>
      </c>
      <c r="J126" t="s">
        <v>292</v>
      </c>
      <c r="K126" t="s">
        <v>290</v>
      </c>
      <c r="L126" t="s">
        <v>293</v>
      </c>
      <c r="M126">
        <v>62300</v>
      </c>
      <c r="N126" t="str">
        <f>"41.179353"</f>
        <v>41.179353</v>
      </c>
      <c r="O126" t="str">
        <f>"23.395008"</f>
        <v>23.395008</v>
      </c>
      <c r="P126" t="s">
        <v>28</v>
      </c>
      <c r="R126">
        <v>606153</v>
      </c>
      <c r="S126">
        <v>103497067</v>
      </c>
      <c r="T126" t="s">
        <v>294</v>
      </c>
      <c r="U126" t="s">
        <v>31</v>
      </c>
    </row>
    <row r="127" spans="1:21" x14ac:dyDescent="0.25">
      <c r="A127" t="s">
        <v>33</v>
      </c>
      <c r="B127" t="s">
        <v>200</v>
      </c>
      <c r="C127" t="s">
        <v>24</v>
      </c>
      <c r="D127" t="str">
        <f>"9440003"</f>
        <v>9440003</v>
      </c>
      <c r="E127" t="s">
        <v>295</v>
      </c>
      <c r="F127">
        <v>2</v>
      </c>
      <c r="G127">
        <v>2</v>
      </c>
      <c r="H127">
        <v>2322022063</v>
      </c>
      <c r="I127">
        <v>2322022063</v>
      </c>
      <c r="J127" t="s">
        <v>296</v>
      </c>
      <c r="K127" t="s">
        <v>297</v>
      </c>
      <c r="L127" t="s">
        <v>298</v>
      </c>
      <c r="M127">
        <v>62200</v>
      </c>
      <c r="N127" t="str">
        <f>"40.911107"</f>
        <v>40.911107</v>
      </c>
      <c r="O127" t="str">
        <f>"23.499611"</f>
        <v>23.499611</v>
      </c>
      <c r="P127" t="s">
        <v>28</v>
      </c>
      <c r="R127">
        <v>619103</v>
      </c>
      <c r="S127">
        <v>73602009</v>
      </c>
      <c r="T127" t="s">
        <v>299</v>
      </c>
      <c r="U127" t="s">
        <v>39</v>
      </c>
    </row>
    <row r="128" spans="1:21" x14ac:dyDescent="0.25">
      <c r="A128" t="s">
        <v>33</v>
      </c>
      <c r="B128" t="s">
        <v>200</v>
      </c>
      <c r="C128" t="s">
        <v>24</v>
      </c>
      <c r="D128" t="str">
        <f>"9440049"</f>
        <v>9440049</v>
      </c>
      <c r="E128" t="s">
        <v>307</v>
      </c>
      <c r="F128">
        <v>2</v>
      </c>
      <c r="G128">
        <v>2</v>
      </c>
      <c r="H128">
        <v>2322022505</v>
      </c>
      <c r="I128">
        <v>2322022505</v>
      </c>
      <c r="J128" t="s">
        <v>308</v>
      </c>
      <c r="K128" t="s">
        <v>306</v>
      </c>
      <c r="L128" t="s">
        <v>309</v>
      </c>
      <c r="M128">
        <v>62200</v>
      </c>
      <c r="N128" t="str">
        <f>"40.920342"</f>
        <v>40.920342</v>
      </c>
      <c r="O128" t="str">
        <f>"23.484244"</f>
        <v>23.484244</v>
      </c>
      <c r="P128" t="s">
        <v>28</v>
      </c>
      <c r="R128">
        <v>591885</v>
      </c>
      <c r="S128">
        <v>72428761</v>
      </c>
      <c r="T128" t="s">
        <v>310</v>
      </c>
      <c r="U128" t="s">
        <v>39</v>
      </c>
    </row>
    <row r="129" spans="1:21" x14ac:dyDescent="0.25">
      <c r="A129" t="s">
        <v>33</v>
      </c>
      <c r="B129" t="s">
        <v>231</v>
      </c>
      <c r="C129" t="s">
        <v>24</v>
      </c>
      <c r="D129" t="str">
        <f>"9440299"</f>
        <v>9440299</v>
      </c>
      <c r="E129" t="s">
        <v>317</v>
      </c>
      <c r="F129">
        <v>1</v>
      </c>
      <c r="G129">
        <v>1</v>
      </c>
      <c r="H129">
        <v>2324041668</v>
      </c>
      <c r="J129" t="s">
        <v>318</v>
      </c>
      <c r="K129" t="s">
        <v>316</v>
      </c>
      <c r="L129" t="s">
        <v>319</v>
      </c>
      <c r="M129">
        <v>62050</v>
      </c>
      <c r="N129" t="str">
        <f>"41.024642"</f>
        <v>41.024642</v>
      </c>
      <c r="O129" t="str">
        <f>"23.774871"</f>
        <v>23.774871</v>
      </c>
      <c r="P129" t="s">
        <v>28</v>
      </c>
      <c r="R129">
        <v>595511</v>
      </c>
      <c r="S129">
        <v>49876149</v>
      </c>
      <c r="T129" t="s">
        <v>320</v>
      </c>
      <c r="U129" t="s">
        <v>39</v>
      </c>
    </row>
    <row r="130" spans="1:21" x14ac:dyDescent="0.25">
      <c r="A130" t="s">
        <v>34</v>
      </c>
      <c r="B130" t="s">
        <v>22</v>
      </c>
      <c r="C130" t="s">
        <v>24</v>
      </c>
      <c r="D130" t="str">
        <f>"9440145"</f>
        <v>9440145</v>
      </c>
      <c r="E130" t="s">
        <v>321</v>
      </c>
      <c r="F130">
        <v>1</v>
      </c>
      <c r="G130">
        <v>1</v>
      </c>
      <c r="H130">
        <v>2321021836</v>
      </c>
      <c r="I130">
        <v>2321021836</v>
      </c>
      <c r="J130" t="s">
        <v>322</v>
      </c>
      <c r="K130" t="s">
        <v>22</v>
      </c>
      <c r="L130" t="s">
        <v>98</v>
      </c>
      <c r="M130">
        <v>62121</v>
      </c>
      <c r="N130" t="str">
        <f>"41.093333"</f>
        <v>41.093333</v>
      </c>
      <c r="O130" t="str">
        <f>"23.546327"</f>
        <v>23.546327</v>
      </c>
      <c r="P130" t="s">
        <v>28</v>
      </c>
      <c r="R130">
        <v>567863</v>
      </c>
      <c r="S130">
        <v>100861048</v>
      </c>
      <c r="T130" t="s">
        <v>323</v>
      </c>
      <c r="U130" t="s">
        <v>39</v>
      </c>
    </row>
    <row r="131" spans="1:21" x14ac:dyDescent="0.25">
      <c r="A131" t="s">
        <v>34</v>
      </c>
      <c r="B131" t="s">
        <v>22</v>
      </c>
      <c r="C131" t="s">
        <v>24</v>
      </c>
      <c r="D131" t="str">
        <f>"9440382"</f>
        <v>9440382</v>
      </c>
      <c r="E131" t="s">
        <v>328</v>
      </c>
      <c r="F131">
        <v>2</v>
      </c>
      <c r="G131">
        <v>2</v>
      </c>
      <c r="H131">
        <v>2321025297</v>
      </c>
      <c r="I131">
        <v>2321065750</v>
      </c>
      <c r="J131" t="s">
        <v>329</v>
      </c>
      <c r="K131" t="s">
        <v>22</v>
      </c>
      <c r="L131" t="s">
        <v>330</v>
      </c>
      <c r="M131">
        <v>62122</v>
      </c>
      <c r="N131" t="str">
        <f>"41.095330"</f>
        <v>41.095330</v>
      </c>
      <c r="O131" t="str">
        <f>"23.558960"</f>
        <v>23.558960</v>
      </c>
      <c r="P131" t="s">
        <v>28</v>
      </c>
      <c r="R131">
        <v>556563</v>
      </c>
      <c r="S131">
        <v>62718013</v>
      </c>
      <c r="T131" t="s">
        <v>331</v>
      </c>
      <c r="U131" t="s">
        <v>39</v>
      </c>
    </row>
    <row r="132" spans="1:21" x14ac:dyDescent="0.25">
      <c r="A132" t="s">
        <v>34</v>
      </c>
      <c r="B132" t="s">
        <v>22</v>
      </c>
      <c r="C132" t="s">
        <v>24</v>
      </c>
      <c r="D132" t="str">
        <f>"9440392"</f>
        <v>9440392</v>
      </c>
      <c r="E132" t="s">
        <v>336</v>
      </c>
      <c r="F132">
        <v>3</v>
      </c>
      <c r="G132">
        <v>2</v>
      </c>
      <c r="H132">
        <v>2321023243</v>
      </c>
      <c r="I132">
        <v>2321023243</v>
      </c>
      <c r="J132" t="s">
        <v>337</v>
      </c>
      <c r="K132" t="s">
        <v>22</v>
      </c>
      <c r="L132" t="s">
        <v>338</v>
      </c>
      <c r="M132">
        <v>62124</v>
      </c>
      <c r="N132" t="str">
        <f>"41.092046"</f>
        <v>41.092046</v>
      </c>
      <c r="O132" t="str">
        <f>"23.562532"</f>
        <v>23.562532</v>
      </c>
      <c r="P132" t="s">
        <v>28</v>
      </c>
      <c r="R132">
        <v>606084</v>
      </c>
      <c r="S132">
        <v>74036030</v>
      </c>
      <c r="T132" t="s">
        <v>339</v>
      </c>
      <c r="U132" t="s">
        <v>39</v>
      </c>
    </row>
    <row r="133" spans="1:21" x14ac:dyDescent="0.25">
      <c r="A133" t="s">
        <v>34</v>
      </c>
      <c r="B133" t="s">
        <v>22</v>
      </c>
      <c r="C133" t="s">
        <v>24</v>
      </c>
      <c r="D133" t="str">
        <f>"9440082"</f>
        <v>9440082</v>
      </c>
      <c r="E133" t="s">
        <v>340</v>
      </c>
      <c r="F133">
        <v>1</v>
      </c>
      <c r="G133">
        <v>1</v>
      </c>
      <c r="H133">
        <v>2321065750</v>
      </c>
      <c r="I133">
        <v>2321065750</v>
      </c>
      <c r="J133" t="s">
        <v>341</v>
      </c>
      <c r="K133" t="s">
        <v>22</v>
      </c>
      <c r="L133" t="s">
        <v>342</v>
      </c>
      <c r="M133">
        <v>62122</v>
      </c>
      <c r="N133" t="str">
        <f>"41.095542"</f>
        <v>41.095542</v>
      </c>
      <c r="O133" t="str">
        <f>"23.562020"</f>
        <v>23.562020</v>
      </c>
      <c r="P133" t="s">
        <v>28</v>
      </c>
      <c r="R133">
        <v>590683</v>
      </c>
      <c r="S133">
        <v>100319294</v>
      </c>
      <c r="T133" t="s">
        <v>343</v>
      </c>
      <c r="U133" t="s">
        <v>39</v>
      </c>
    </row>
    <row r="134" spans="1:21" x14ac:dyDescent="0.25">
      <c r="A134" t="s">
        <v>34</v>
      </c>
      <c r="B134" t="s">
        <v>22</v>
      </c>
      <c r="C134" t="s">
        <v>24</v>
      </c>
      <c r="D134" t="str">
        <f>"9440414"</f>
        <v>9440414</v>
      </c>
      <c r="E134" t="s">
        <v>344</v>
      </c>
      <c r="F134">
        <v>1</v>
      </c>
      <c r="G134">
        <v>1</v>
      </c>
      <c r="H134">
        <v>2321601041</v>
      </c>
      <c r="J134" t="s">
        <v>345</v>
      </c>
      <c r="K134" t="s">
        <v>22</v>
      </c>
      <c r="L134" t="s">
        <v>346</v>
      </c>
      <c r="M134">
        <v>62124</v>
      </c>
      <c r="N134" t="str">
        <f>"41.087527"</f>
        <v>41.087527</v>
      </c>
      <c r="O134" t="str">
        <f>"23.551279"</f>
        <v>23.551279</v>
      </c>
      <c r="P134" t="s">
        <v>28</v>
      </c>
      <c r="R134">
        <v>611320</v>
      </c>
      <c r="S134">
        <v>61544582</v>
      </c>
      <c r="T134" t="s">
        <v>347</v>
      </c>
      <c r="U134" t="s">
        <v>39</v>
      </c>
    </row>
    <row r="135" spans="1:21" x14ac:dyDescent="0.25">
      <c r="A135" t="s">
        <v>34</v>
      </c>
      <c r="B135" t="s">
        <v>22</v>
      </c>
      <c r="C135" t="s">
        <v>24</v>
      </c>
      <c r="D135" t="str">
        <f>"9440372"</f>
        <v>9440372</v>
      </c>
      <c r="E135" t="s">
        <v>348</v>
      </c>
      <c r="F135">
        <v>2</v>
      </c>
      <c r="G135">
        <v>2</v>
      </c>
      <c r="H135">
        <v>2321063458</v>
      </c>
      <c r="I135">
        <v>2321021976</v>
      </c>
      <c r="J135" t="s">
        <v>349</v>
      </c>
      <c r="K135" t="s">
        <v>22</v>
      </c>
      <c r="L135" t="s">
        <v>346</v>
      </c>
      <c r="M135">
        <v>62124</v>
      </c>
      <c r="N135" t="str">
        <f>"40.909133"</f>
        <v>40.909133</v>
      </c>
      <c r="O135" t="str">
        <f>"23.501015"</f>
        <v>23.501015</v>
      </c>
      <c r="P135" t="s">
        <v>28</v>
      </c>
      <c r="R135">
        <v>587203</v>
      </c>
      <c r="S135">
        <v>69760273</v>
      </c>
      <c r="T135" t="s">
        <v>350</v>
      </c>
      <c r="U135" t="s">
        <v>39</v>
      </c>
    </row>
    <row r="136" spans="1:21" x14ac:dyDescent="0.25">
      <c r="A136" t="s">
        <v>230</v>
      </c>
      <c r="B136" t="s">
        <v>188</v>
      </c>
      <c r="C136" t="s">
        <v>24</v>
      </c>
      <c r="D136" t="str">
        <f>"9440342"</f>
        <v>9440342</v>
      </c>
      <c r="E136" t="s">
        <v>351</v>
      </c>
      <c r="F136">
        <v>1</v>
      </c>
      <c r="G136">
        <v>2</v>
      </c>
      <c r="H136">
        <v>2324071226</v>
      </c>
      <c r="I136">
        <v>2324071226</v>
      </c>
      <c r="J136" t="s">
        <v>352</v>
      </c>
      <c r="K136" t="s">
        <v>353</v>
      </c>
      <c r="L136" t="s">
        <v>354</v>
      </c>
      <c r="M136">
        <v>62041</v>
      </c>
      <c r="N136" t="str">
        <f>"40.921168"</f>
        <v>40.921168</v>
      </c>
      <c r="O136" t="str">
        <f>"23.967852"</f>
        <v>23.967852</v>
      </c>
      <c r="P136" t="s">
        <v>28</v>
      </c>
      <c r="R136">
        <v>608160</v>
      </c>
      <c r="S136">
        <v>49198008</v>
      </c>
      <c r="T136" t="s">
        <v>355</v>
      </c>
      <c r="U136" t="s">
        <v>39</v>
      </c>
    </row>
    <row r="137" spans="1:21" x14ac:dyDescent="0.25">
      <c r="A137" t="s">
        <v>21</v>
      </c>
      <c r="B137" t="s">
        <v>188</v>
      </c>
      <c r="C137" t="s">
        <v>24</v>
      </c>
      <c r="D137" t="str">
        <f>"9440423"</f>
        <v>9440423</v>
      </c>
      <c r="E137" t="s">
        <v>376</v>
      </c>
      <c r="F137">
        <v>1</v>
      </c>
      <c r="G137">
        <v>1</v>
      </c>
      <c r="H137">
        <v>2322032211</v>
      </c>
      <c r="I137">
        <v>2322032211</v>
      </c>
      <c r="J137" t="s">
        <v>377</v>
      </c>
      <c r="K137" t="s">
        <v>378</v>
      </c>
      <c r="L137" t="s">
        <v>379</v>
      </c>
      <c r="M137">
        <v>62041</v>
      </c>
      <c r="N137" t="str">
        <f>"40.793332"</f>
        <v>40.793332</v>
      </c>
      <c r="O137" t="str">
        <f>"23.839035"</f>
        <v>23.839035</v>
      </c>
      <c r="P137" t="s">
        <v>28</v>
      </c>
      <c r="R137">
        <v>616542</v>
      </c>
      <c r="S137">
        <v>137705207</v>
      </c>
      <c r="T137" t="s">
        <v>380</v>
      </c>
      <c r="U137" t="s">
        <v>39</v>
      </c>
    </row>
    <row r="138" spans="1:21" x14ac:dyDescent="0.25">
      <c r="A138" t="s">
        <v>187</v>
      </c>
      <c r="B138" t="s">
        <v>23</v>
      </c>
      <c r="C138" t="s">
        <v>24</v>
      </c>
      <c r="D138" t="str">
        <f>"9440249"</f>
        <v>9440249</v>
      </c>
      <c r="E138" t="s">
        <v>385</v>
      </c>
      <c r="F138">
        <v>1</v>
      </c>
      <c r="G138">
        <v>1</v>
      </c>
      <c r="H138">
        <v>2327041267</v>
      </c>
      <c r="I138">
        <v>2327041267</v>
      </c>
      <c r="J138" t="s">
        <v>386</v>
      </c>
      <c r="K138" t="s">
        <v>252</v>
      </c>
      <c r="L138" t="s">
        <v>359</v>
      </c>
      <c r="M138">
        <v>62055</v>
      </c>
      <c r="N138" t="str">
        <f>"41.219175"</f>
        <v>41.219175</v>
      </c>
      <c r="O138" t="str">
        <f>"23.083100"</f>
        <v>23.083100</v>
      </c>
      <c r="P138" t="s">
        <v>28</v>
      </c>
      <c r="S138">
        <v>161201877</v>
      </c>
      <c r="T138" t="s">
        <v>387</v>
      </c>
      <c r="U138" t="s">
        <v>31</v>
      </c>
    </row>
    <row r="139" spans="1:21" x14ac:dyDescent="0.25">
      <c r="A139" t="s">
        <v>33</v>
      </c>
      <c r="B139" t="s">
        <v>388</v>
      </c>
      <c r="C139" t="s">
        <v>24</v>
      </c>
      <c r="D139" t="str">
        <f>"9440200"</f>
        <v>9440200</v>
      </c>
      <c r="E139" t="s">
        <v>390</v>
      </c>
      <c r="F139">
        <v>1</v>
      </c>
      <c r="G139">
        <v>1</v>
      </c>
      <c r="H139">
        <v>2325022676</v>
      </c>
      <c r="J139" t="s">
        <v>391</v>
      </c>
      <c r="K139" t="s">
        <v>389</v>
      </c>
      <c r="L139" t="s">
        <v>392</v>
      </c>
      <c r="M139">
        <v>62400</v>
      </c>
      <c r="N139" t="str">
        <f>"41.177997"</f>
        <v>41.177997</v>
      </c>
      <c r="O139" t="str">
        <f>"23.318173"</f>
        <v>23.318173</v>
      </c>
      <c r="P139" t="s">
        <v>28</v>
      </c>
      <c r="R139">
        <v>703732</v>
      </c>
      <c r="S139">
        <v>120404603</v>
      </c>
      <c r="T139" t="s">
        <v>393</v>
      </c>
      <c r="U139" t="s">
        <v>39</v>
      </c>
    </row>
    <row r="140" spans="1:21" x14ac:dyDescent="0.25">
      <c r="A140" t="s">
        <v>230</v>
      </c>
      <c r="B140" t="s">
        <v>188</v>
      </c>
      <c r="C140" t="s">
        <v>24</v>
      </c>
      <c r="D140" t="str">
        <f>"9440330"</f>
        <v>9440330</v>
      </c>
      <c r="E140" t="s">
        <v>394</v>
      </c>
      <c r="F140">
        <v>1</v>
      </c>
      <c r="G140">
        <v>1</v>
      </c>
      <c r="H140">
        <v>2324081326</v>
      </c>
      <c r="I140">
        <v>2324081326</v>
      </c>
      <c r="J140" t="s">
        <v>395</v>
      </c>
      <c r="K140" t="s">
        <v>396</v>
      </c>
      <c r="L140" t="s">
        <v>374</v>
      </c>
      <c r="M140">
        <v>62047</v>
      </c>
      <c r="N140" t="str">
        <f>"40.989819"</f>
        <v>40.989819</v>
      </c>
      <c r="O140" t="str">
        <f>"24.020918"</f>
        <v>24.020918</v>
      </c>
      <c r="P140" t="s">
        <v>28</v>
      </c>
      <c r="R140">
        <v>589653</v>
      </c>
      <c r="S140">
        <v>45416399</v>
      </c>
      <c r="T140" t="s">
        <v>397</v>
      </c>
      <c r="U140" t="s">
        <v>39</v>
      </c>
    </row>
    <row r="141" spans="1:21" x14ac:dyDescent="0.25">
      <c r="A141" t="s">
        <v>259</v>
      </c>
      <c r="B141" t="s">
        <v>23</v>
      </c>
      <c r="C141" t="s">
        <v>24</v>
      </c>
      <c r="D141" t="str">
        <f>"9440267"</f>
        <v>9440267</v>
      </c>
      <c r="E141" t="s">
        <v>398</v>
      </c>
      <c r="F141">
        <v>1</v>
      </c>
      <c r="G141">
        <v>1</v>
      </c>
      <c r="H141">
        <v>2327061305</v>
      </c>
      <c r="I141">
        <v>2327061305</v>
      </c>
      <c r="J141" t="s">
        <v>399</v>
      </c>
      <c r="K141" t="s">
        <v>400</v>
      </c>
      <c r="L141" t="s">
        <v>400</v>
      </c>
      <c r="M141">
        <v>62055</v>
      </c>
      <c r="N141" t="str">
        <f>"41.290807"</f>
        <v>41.290807</v>
      </c>
      <c r="O141" t="str">
        <f>"22.954835"</f>
        <v>22.954835</v>
      </c>
      <c r="P141" t="s">
        <v>28</v>
      </c>
      <c r="R141">
        <v>713804</v>
      </c>
      <c r="S141">
        <v>125666825</v>
      </c>
      <c r="T141" t="s">
        <v>401</v>
      </c>
      <c r="U141" t="s">
        <v>31</v>
      </c>
    </row>
    <row r="142" spans="1:21" x14ac:dyDescent="0.25">
      <c r="A142" t="s">
        <v>21</v>
      </c>
      <c r="B142" t="s">
        <v>23</v>
      </c>
      <c r="C142" t="s">
        <v>24</v>
      </c>
      <c r="D142" t="str">
        <f>"9440275"</f>
        <v>9440275</v>
      </c>
      <c r="E142" t="s">
        <v>402</v>
      </c>
      <c r="F142">
        <v>1</v>
      </c>
      <c r="G142">
        <v>2</v>
      </c>
      <c r="H142">
        <v>2327022026</v>
      </c>
      <c r="I142">
        <v>2327022026</v>
      </c>
      <c r="J142" t="s">
        <v>403</v>
      </c>
      <c r="K142" t="s">
        <v>404</v>
      </c>
      <c r="L142" t="s">
        <v>405</v>
      </c>
      <c r="M142">
        <v>62055</v>
      </c>
      <c r="N142" t="str">
        <f>"41.262329"</f>
        <v>41.262329</v>
      </c>
      <c r="O142" t="str">
        <f>"22.999203"</f>
        <v>22.999203</v>
      </c>
      <c r="P142" t="s">
        <v>28</v>
      </c>
      <c r="R142">
        <v>615558</v>
      </c>
      <c r="S142">
        <v>37893653</v>
      </c>
      <c r="T142" t="s">
        <v>406</v>
      </c>
      <c r="U142" t="s">
        <v>31</v>
      </c>
    </row>
    <row r="143" spans="1:21" x14ac:dyDescent="0.25">
      <c r="A143" t="s">
        <v>33</v>
      </c>
      <c r="B143" t="s">
        <v>23</v>
      </c>
      <c r="C143" t="s">
        <v>24</v>
      </c>
      <c r="D143" t="str">
        <f>"9440208"</f>
        <v>9440208</v>
      </c>
      <c r="E143" t="s">
        <v>407</v>
      </c>
      <c r="F143">
        <v>1</v>
      </c>
      <c r="G143">
        <v>2</v>
      </c>
      <c r="H143">
        <v>2323022281</v>
      </c>
      <c r="I143">
        <v>2323022281</v>
      </c>
      <c r="J143" t="s">
        <v>408</v>
      </c>
      <c r="K143" t="s">
        <v>198</v>
      </c>
      <c r="L143" t="s">
        <v>409</v>
      </c>
      <c r="M143">
        <v>62300</v>
      </c>
      <c r="N143" t="str">
        <f>"41.240934"</f>
        <v>41.240934</v>
      </c>
      <c r="O143" t="str">
        <f>"23.389880"</f>
        <v>23.389880</v>
      </c>
      <c r="P143" t="s">
        <v>28</v>
      </c>
      <c r="R143">
        <v>591749</v>
      </c>
      <c r="S143">
        <v>28866444</v>
      </c>
      <c r="T143" t="s">
        <v>410</v>
      </c>
      <c r="U143" t="s">
        <v>31</v>
      </c>
    </row>
    <row r="144" spans="1:21" x14ac:dyDescent="0.25">
      <c r="A144" t="s">
        <v>33</v>
      </c>
      <c r="B144" t="s">
        <v>388</v>
      </c>
      <c r="C144" t="s">
        <v>24</v>
      </c>
      <c r="D144" t="str">
        <f>"9440204"</f>
        <v>9440204</v>
      </c>
      <c r="E144" t="s">
        <v>413</v>
      </c>
      <c r="F144">
        <v>1</v>
      </c>
      <c r="G144">
        <v>1</v>
      </c>
      <c r="H144">
        <v>2323051304</v>
      </c>
      <c r="J144" t="s">
        <v>414</v>
      </c>
      <c r="K144" t="s">
        <v>412</v>
      </c>
      <c r="L144" t="s">
        <v>415</v>
      </c>
      <c r="M144">
        <v>62300</v>
      </c>
      <c r="N144" t="str">
        <f>"41.162064"</f>
        <v>41.162064</v>
      </c>
      <c r="O144" t="str">
        <f>"23.363025"</f>
        <v>23.363025</v>
      </c>
      <c r="P144" t="s">
        <v>28</v>
      </c>
      <c r="R144">
        <v>619189</v>
      </c>
      <c r="S144">
        <v>45713984</v>
      </c>
      <c r="T144" t="s">
        <v>416</v>
      </c>
      <c r="U144" t="s">
        <v>39</v>
      </c>
    </row>
    <row r="145" spans="1:21" x14ac:dyDescent="0.25">
      <c r="A145" t="s">
        <v>33</v>
      </c>
      <c r="B145" t="s">
        <v>388</v>
      </c>
      <c r="C145" t="s">
        <v>24</v>
      </c>
      <c r="D145" t="str">
        <f>"9440065"</f>
        <v>9440065</v>
      </c>
      <c r="E145" t="s">
        <v>425</v>
      </c>
      <c r="F145">
        <v>1</v>
      </c>
      <c r="G145">
        <v>2</v>
      </c>
      <c r="H145">
        <v>2321086077</v>
      </c>
      <c r="I145">
        <v>2321086022</v>
      </c>
      <c r="J145" t="s">
        <v>426</v>
      </c>
      <c r="K145" t="s">
        <v>427</v>
      </c>
      <c r="L145" t="s">
        <v>428</v>
      </c>
      <c r="M145">
        <v>62054</v>
      </c>
      <c r="N145" t="str">
        <f>"41.043440"</f>
        <v>41.043440</v>
      </c>
      <c r="O145" t="str">
        <f>"23.317231"</f>
        <v>23.317231</v>
      </c>
      <c r="P145" t="s">
        <v>28</v>
      </c>
      <c r="R145">
        <v>615163</v>
      </c>
      <c r="S145">
        <v>55714257</v>
      </c>
      <c r="T145" t="s">
        <v>429</v>
      </c>
      <c r="U145" t="s">
        <v>39</v>
      </c>
    </row>
    <row r="146" spans="1:21" x14ac:dyDescent="0.25">
      <c r="A146" t="s">
        <v>33</v>
      </c>
      <c r="B146" t="s">
        <v>388</v>
      </c>
      <c r="C146" t="s">
        <v>24</v>
      </c>
      <c r="D146" t="str">
        <f>"9440253"</f>
        <v>9440253</v>
      </c>
      <c r="E146" t="s">
        <v>434</v>
      </c>
      <c r="F146">
        <v>1</v>
      </c>
      <c r="G146">
        <v>1</v>
      </c>
      <c r="H146">
        <v>2325023591</v>
      </c>
      <c r="I146">
        <v>2325023599</v>
      </c>
      <c r="J146" t="s">
        <v>435</v>
      </c>
      <c r="K146" t="s">
        <v>436</v>
      </c>
      <c r="L146" t="s">
        <v>437</v>
      </c>
      <c r="M146">
        <v>62400</v>
      </c>
      <c r="N146" t="str">
        <f>"41.212973"</f>
        <v>41.212973</v>
      </c>
      <c r="O146" t="str">
        <f>"23.301938"</f>
        <v>23.301938</v>
      </c>
      <c r="P146" t="s">
        <v>28</v>
      </c>
      <c r="R146">
        <v>700258</v>
      </c>
      <c r="S146">
        <v>135277108</v>
      </c>
      <c r="T146" t="s">
        <v>438</v>
      </c>
      <c r="U146" t="s">
        <v>39</v>
      </c>
    </row>
    <row r="147" spans="1:21" x14ac:dyDescent="0.25">
      <c r="A147" t="s">
        <v>34</v>
      </c>
      <c r="B147" t="s">
        <v>22</v>
      </c>
      <c r="C147" t="s">
        <v>24</v>
      </c>
      <c r="D147" t="str">
        <f>"9440073"</f>
        <v>9440073</v>
      </c>
      <c r="E147" t="s">
        <v>439</v>
      </c>
      <c r="F147">
        <v>2</v>
      </c>
      <c r="G147">
        <v>2</v>
      </c>
      <c r="H147">
        <v>2321020728</v>
      </c>
      <c r="I147">
        <v>2321020728</v>
      </c>
      <c r="J147" t="s">
        <v>440</v>
      </c>
      <c r="K147" t="s">
        <v>22</v>
      </c>
      <c r="L147" t="s">
        <v>441</v>
      </c>
      <c r="M147">
        <v>62100</v>
      </c>
      <c r="N147" t="str">
        <f>"41.087935"</f>
        <v>41.087935</v>
      </c>
      <c r="O147" t="str">
        <f>"23.570174"</f>
        <v>23.570174</v>
      </c>
      <c r="P147" t="s">
        <v>28</v>
      </c>
      <c r="R147">
        <v>608563</v>
      </c>
      <c r="S147">
        <v>70301780</v>
      </c>
      <c r="T147" t="s">
        <v>442</v>
      </c>
      <c r="U147" t="s">
        <v>39</v>
      </c>
    </row>
    <row r="148" spans="1:21" x14ac:dyDescent="0.25">
      <c r="A148" t="s">
        <v>34</v>
      </c>
      <c r="B148" t="s">
        <v>22</v>
      </c>
      <c r="C148" t="s">
        <v>24</v>
      </c>
      <c r="D148" t="str">
        <f>"9440083"</f>
        <v>9440083</v>
      </c>
      <c r="E148" t="s">
        <v>443</v>
      </c>
      <c r="F148">
        <v>2</v>
      </c>
      <c r="G148">
        <v>2</v>
      </c>
      <c r="H148">
        <v>2321021664</v>
      </c>
      <c r="J148" t="s">
        <v>444</v>
      </c>
      <c r="K148" t="s">
        <v>57</v>
      </c>
      <c r="L148" t="s">
        <v>445</v>
      </c>
      <c r="M148">
        <v>62122</v>
      </c>
      <c r="N148" t="str">
        <f>"41.094455"</f>
        <v>41.094455</v>
      </c>
      <c r="O148" t="str">
        <f>"23.555858"</f>
        <v>23.555858</v>
      </c>
      <c r="P148" t="s">
        <v>28</v>
      </c>
      <c r="R148">
        <v>552475</v>
      </c>
      <c r="S148">
        <v>100863030</v>
      </c>
      <c r="T148" t="s">
        <v>446</v>
      </c>
      <c r="U148" t="s">
        <v>39</v>
      </c>
    </row>
    <row r="149" spans="1:21" x14ac:dyDescent="0.25">
      <c r="A149" t="s">
        <v>34</v>
      </c>
      <c r="B149" t="s">
        <v>22</v>
      </c>
      <c r="C149" t="s">
        <v>24</v>
      </c>
      <c r="D149" t="str">
        <f>"9440371"</f>
        <v>9440371</v>
      </c>
      <c r="E149" t="s">
        <v>447</v>
      </c>
      <c r="F149">
        <v>2</v>
      </c>
      <c r="G149">
        <v>2</v>
      </c>
      <c r="H149">
        <v>2321063094</v>
      </c>
      <c r="I149">
        <v>2321063094</v>
      </c>
      <c r="J149" t="s">
        <v>448</v>
      </c>
      <c r="K149" t="s">
        <v>22</v>
      </c>
      <c r="L149" t="s">
        <v>449</v>
      </c>
      <c r="M149">
        <v>62122</v>
      </c>
      <c r="N149" t="str">
        <f>"41.094403"</f>
        <v>41.094403</v>
      </c>
      <c r="O149" t="str">
        <f>"23.548667"</f>
        <v>23.548667</v>
      </c>
      <c r="P149" t="s">
        <v>28</v>
      </c>
      <c r="R149">
        <v>589718</v>
      </c>
      <c r="S149">
        <v>44719180</v>
      </c>
      <c r="T149" t="s">
        <v>450</v>
      </c>
      <c r="U149" t="s">
        <v>39</v>
      </c>
    </row>
    <row r="150" spans="1:21" x14ac:dyDescent="0.25">
      <c r="A150" t="s">
        <v>199</v>
      </c>
      <c r="B150" t="s">
        <v>388</v>
      </c>
      <c r="C150" t="s">
        <v>24</v>
      </c>
      <c r="D150" t="str">
        <f>"9440196"</f>
        <v>9440196</v>
      </c>
      <c r="E150" t="s">
        <v>452</v>
      </c>
      <c r="F150">
        <v>1</v>
      </c>
      <c r="G150">
        <v>1</v>
      </c>
      <c r="H150">
        <v>2325041610</v>
      </c>
      <c r="I150">
        <v>2325041610</v>
      </c>
      <c r="J150" t="s">
        <v>453</v>
      </c>
      <c r="K150" t="s">
        <v>451</v>
      </c>
      <c r="L150" t="s">
        <v>454</v>
      </c>
      <c r="M150">
        <v>62400</v>
      </c>
      <c r="N150" t="str">
        <f>"41.136702"</f>
        <v>41.136702</v>
      </c>
      <c r="O150" t="str">
        <f>"23.218686"</f>
        <v>23.218686</v>
      </c>
      <c r="P150" t="s">
        <v>28</v>
      </c>
      <c r="R150">
        <v>608501</v>
      </c>
      <c r="S150">
        <v>66006812</v>
      </c>
      <c r="T150" t="s">
        <v>455</v>
      </c>
      <c r="U150" t="s">
        <v>39</v>
      </c>
    </row>
    <row r="151" spans="1:21" x14ac:dyDescent="0.25">
      <c r="A151" t="s">
        <v>34</v>
      </c>
      <c r="B151" t="s">
        <v>22</v>
      </c>
      <c r="C151" t="s">
        <v>24</v>
      </c>
      <c r="D151" t="str">
        <f>"9440407"</f>
        <v>9440407</v>
      </c>
      <c r="E151" t="s">
        <v>456</v>
      </c>
      <c r="F151">
        <v>1</v>
      </c>
      <c r="G151">
        <v>2</v>
      </c>
      <c r="H151">
        <v>2321065788</v>
      </c>
      <c r="J151" t="s">
        <v>457</v>
      </c>
      <c r="K151" t="s">
        <v>22</v>
      </c>
      <c r="L151" t="s">
        <v>445</v>
      </c>
      <c r="M151">
        <v>62124</v>
      </c>
      <c r="N151" t="str">
        <f>"41.094465"</f>
        <v>41.094465</v>
      </c>
      <c r="O151" t="str">
        <f>"23.555905"</f>
        <v>23.555905</v>
      </c>
      <c r="P151" t="s">
        <v>28</v>
      </c>
      <c r="U151" t="s">
        <v>39</v>
      </c>
    </row>
    <row r="152" spans="1:21" x14ac:dyDescent="0.25">
      <c r="A152" t="s">
        <v>230</v>
      </c>
      <c r="B152" t="s">
        <v>188</v>
      </c>
      <c r="C152" t="s">
        <v>24</v>
      </c>
      <c r="D152" t="str">
        <f>"9440339"</f>
        <v>9440339</v>
      </c>
      <c r="E152" t="s">
        <v>461</v>
      </c>
      <c r="F152">
        <v>1</v>
      </c>
      <c r="G152">
        <v>1</v>
      </c>
      <c r="H152">
        <v>2324061010</v>
      </c>
      <c r="I152">
        <v>2324061010</v>
      </c>
      <c r="J152" t="s">
        <v>462</v>
      </c>
      <c r="K152" t="s">
        <v>463</v>
      </c>
      <c r="L152" t="s">
        <v>464</v>
      </c>
      <c r="M152">
        <v>62047</v>
      </c>
      <c r="N152" t="str">
        <f>"40.941090"</f>
        <v>40.941090</v>
      </c>
      <c r="O152" t="str">
        <f>"24.003001"</f>
        <v>24.003001</v>
      </c>
      <c r="P152" t="s">
        <v>28</v>
      </c>
      <c r="S152">
        <v>132792150</v>
      </c>
      <c r="T152" t="s">
        <v>465</v>
      </c>
      <c r="U152" t="s">
        <v>39</v>
      </c>
    </row>
    <row r="153" spans="1:21" x14ac:dyDescent="0.25">
      <c r="A153" t="s">
        <v>34</v>
      </c>
      <c r="B153" t="s">
        <v>22</v>
      </c>
      <c r="C153" t="s">
        <v>24</v>
      </c>
      <c r="D153" t="str">
        <f>"9440410"</f>
        <v>9440410</v>
      </c>
      <c r="E153" t="s">
        <v>466</v>
      </c>
      <c r="F153">
        <v>2</v>
      </c>
      <c r="G153">
        <v>2</v>
      </c>
      <c r="H153">
        <v>2321057174</v>
      </c>
      <c r="I153">
        <v>2321057174</v>
      </c>
      <c r="J153" t="s">
        <v>467</v>
      </c>
      <c r="K153" t="s">
        <v>22</v>
      </c>
      <c r="L153" t="s">
        <v>468</v>
      </c>
      <c r="M153">
        <v>62124</v>
      </c>
      <c r="N153" t="str">
        <f>"41.088961"</f>
        <v>41.088961</v>
      </c>
      <c r="O153" t="str">
        <f>"23.552693"</f>
        <v>23.552693</v>
      </c>
      <c r="P153" t="s">
        <v>28</v>
      </c>
      <c r="R153">
        <v>595580</v>
      </c>
      <c r="S153">
        <v>57110250</v>
      </c>
      <c r="T153" t="s">
        <v>469</v>
      </c>
      <c r="U153" t="s">
        <v>39</v>
      </c>
    </row>
    <row r="154" spans="1:21" x14ac:dyDescent="0.25">
      <c r="A154" t="s">
        <v>65</v>
      </c>
      <c r="B154" t="s">
        <v>22</v>
      </c>
      <c r="C154" t="s">
        <v>24</v>
      </c>
      <c r="D154" t="str">
        <f>"9440186"</f>
        <v>9440186</v>
      </c>
      <c r="E154" t="s">
        <v>471</v>
      </c>
      <c r="F154">
        <v>1</v>
      </c>
      <c r="G154">
        <v>2</v>
      </c>
      <c r="H154">
        <v>2321088329</v>
      </c>
      <c r="I154">
        <v>2321088329</v>
      </c>
      <c r="J154" t="s">
        <v>472</v>
      </c>
      <c r="K154" t="s">
        <v>470</v>
      </c>
      <c r="L154" t="s">
        <v>473</v>
      </c>
      <c r="M154">
        <v>62100</v>
      </c>
      <c r="N154" t="str">
        <f>"41.070698"</f>
        <v>41.070698</v>
      </c>
      <c r="O154" t="str">
        <f>"23.390673"</f>
        <v>23.390673</v>
      </c>
      <c r="P154" t="s">
        <v>28</v>
      </c>
      <c r="R154">
        <v>596915</v>
      </c>
      <c r="S154">
        <v>126361474</v>
      </c>
      <c r="T154" t="s">
        <v>474</v>
      </c>
      <c r="U154" t="s">
        <v>39</v>
      </c>
    </row>
    <row r="155" spans="1:21" x14ac:dyDescent="0.25">
      <c r="A155" t="s">
        <v>65</v>
      </c>
      <c r="B155" t="s">
        <v>388</v>
      </c>
      <c r="C155" t="s">
        <v>24</v>
      </c>
      <c r="D155" t="str">
        <f>"9440188"</f>
        <v>9440188</v>
      </c>
      <c r="E155" t="s">
        <v>475</v>
      </c>
      <c r="F155">
        <v>1</v>
      </c>
      <c r="G155">
        <v>1</v>
      </c>
      <c r="H155">
        <v>2321081557</v>
      </c>
      <c r="J155" t="s">
        <v>476</v>
      </c>
      <c r="K155" t="s">
        <v>411</v>
      </c>
      <c r="L155" t="s">
        <v>477</v>
      </c>
      <c r="M155">
        <v>62100</v>
      </c>
      <c r="N155" t="str">
        <f>"41.126658"</f>
        <v>41.126658</v>
      </c>
      <c r="O155" t="str">
        <f>"23.378017"</f>
        <v>23.378017</v>
      </c>
      <c r="P155" t="s">
        <v>28</v>
      </c>
      <c r="R155">
        <v>622550</v>
      </c>
      <c r="S155">
        <v>120128966</v>
      </c>
      <c r="T155" t="s">
        <v>478</v>
      </c>
      <c r="U155" t="s">
        <v>39</v>
      </c>
    </row>
    <row r="156" spans="1:21" x14ac:dyDescent="0.25">
      <c r="A156" t="s">
        <v>33</v>
      </c>
      <c r="B156" t="s">
        <v>388</v>
      </c>
      <c r="C156" t="s">
        <v>24</v>
      </c>
      <c r="D156" t="str">
        <f>"9440191"</f>
        <v>9440191</v>
      </c>
      <c r="E156" t="s">
        <v>479</v>
      </c>
      <c r="F156">
        <v>1</v>
      </c>
      <c r="G156">
        <v>1</v>
      </c>
      <c r="H156">
        <v>2325051295</v>
      </c>
      <c r="J156" t="s">
        <v>480</v>
      </c>
      <c r="K156" t="s">
        <v>481</v>
      </c>
      <c r="L156" t="s">
        <v>482</v>
      </c>
      <c r="M156">
        <v>62400</v>
      </c>
      <c r="N156" t="str">
        <f>"41.181528"</f>
        <v>41.181528</v>
      </c>
      <c r="O156" t="str">
        <f>"23.233573"</f>
        <v>23.233573</v>
      </c>
      <c r="P156" t="s">
        <v>28</v>
      </c>
      <c r="R156">
        <v>608326</v>
      </c>
      <c r="S156">
        <v>118473226</v>
      </c>
      <c r="T156" t="s">
        <v>483</v>
      </c>
      <c r="U156" t="s">
        <v>39</v>
      </c>
    </row>
    <row r="157" spans="1:21" x14ac:dyDescent="0.25">
      <c r="A157" t="s">
        <v>34</v>
      </c>
      <c r="B157" t="s">
        <v>22</v>
      </c>
      <c r="C157" t="s">
        <v>24</v>
      </c>
      <c r="D157" t="str">
        <f>"9520786"</f>
        <v>9520786</v>
      </c>
      <c r="E157" t="s">
        <v>484</v>
      </c>
      <c r="F157">
        <v>1</v>
      </c>
      <c r="G157">
        <v>1</v>
      </c>
      <c r="H157">
        <v>2321053119</v>
      </c>
      <c r="I157">
        <v>2321053119</v>
      </c>
      <c r="J157" t="s">
        <v>485</v>
      </c>
      <c r="K157" t="s">
        <v>22</v>
      </c>
      <c r="L157" t="s">
        <v>486</v>
      </c>
      <c r="M157">
        <v>62122</v>
      </c>
      <c r="N157" t="str">
        <f>"41.094477"</f>
        <v>41.094477</v>
      </c>
      <c r="O157" t="str">
        <f>"23.548852"</f>
        <v>23.548852</v>
      </c>
      <c r="P157" t="s">
        <v>28</v>
      </c>
      <c r="R157">
        <v>194902</v>
      </c>
      <c r="S157">
        <v>39203168</v>
      </c>
      <c r="T157" t="s">
        <v>487</v>
      </c>
      <c r="U157" t="s">
        <v>39</v>
      </c>
    </row>
    <row r="158" spans="1:21" x14ac:dyDescent="0.25">
      <c r="A158" t="s">
        <v>33</v>
      </c>
      <c r="B158" t="s">
        <v>388</v>
      </c>
      <c r="C158" t="s">
        <v>24</v>
      </c>
      <c r="D158" t="str">
        <f>"9440137"</f>
        <v>9440137</v>
      </c>
      <c r="E158" t="s">
        <v>488</v>
      </c>
      <c r="F158">
        <v>1</v>
      </c>
      <c r="G158">
        <v>2</v>
      </c>
      <c r="H158">
        <v>2325022935</v>
      </c>
      <c r="I158">
        <v>2325022922</v>
      </c>
      <c r="J158" t="s">
        <v>489</v>
      </c>
      <c r="K158" t="s">
        <v>388</v>
      </c>
      <c r="L158" t="s">
        <v>490</v>
      </c>
      <c r="M158">
        <v>62400</v>
      </c>
      <c r="N158" t="str">
        <f>"41.182237"</f>
        <v>41.182237</v>
      </c>
      <c r="O158" t="str">
        <f>"23.278245"</f>
        <v>23.278245</v>
      </c>
      <c r="P158" t="s">
        <v>28</v>
      </c>
      <c r="R158">
        <v>615386</v>
      </c>
      <c r="S158">
        <v>45841238</v>
      </c>
      <c r="T158" t="s">
        <v>491</v>
      </c>
      <c r="U158" t="s">
        <v>39</v>
      </c>
    </row>
    <row r="159" spans="1:21" x14ac:dyDescent="0.25">
      <c r="A159" t="s">
        <v>33</v>
      </c>
      <c r="B159" t="s">
        <v>388</v>
      </c>
      <c r="C159" t="s">
        <v>24</v>
      </c>
      <c r="D159" t="str">
        <f>"9440138"</f>
        <v>9440138</v>
      </c>
      <c r="E159" t="s">
        <v>492</v>
      </c>
      <c r="F159">
        <v>1</v>
      </c>
      <c r="G159">
        <v>2</v>
      </c>
      <c r="H159">
        <v>2325022935</v>
      </c>
      <c r="I159">
        <v>2325022922</v>
      </c>
      <c r="J159" t="s">
        <v>493</v>
      </c>
      <c r="K159" t="s">
        <v>388</v>
      </c>
      <c r="L159" t="s">
        <v>490</v>
      </c>
      <c r="M159">
        <v>62400</v>
      </c>
      <c r="N159" t="str">
        <f>"41.168458"</f>
        <v>41.168458</v>
      </c>
      <c r="O159" t="str">
        <f>"23.276562"</f>
        <v>23.276562</v>
      </c>
      <c r="P159" t="s">
        <v>29</v>
      </c>
      <c r="U159" t="s">
        <v>39</v>
      </c>
    </row>
    <row r="160" spans="1:21" x14ac:dyDescent="0.25">
      <c r="A160" t="s">
        <v>33</v>
      </c>
      <c r="B160" t="s">
        <v>388</v>
      </c>
      <c r="C160" t="s">
        <v>24</v>
      </c>
      <c r="D160" t="str">
        <f>"9440270"</f>
        <v>9440270</v>
      </c>
      <c r="E160" t="s">
        <v>495</v>
      </c>
      <c r="F160">
        <v>2</v>
      </c>
      <c r="G160">
        <v>2</v>
      </c>
      <c r="H160">
        <v>2325024916</v>
      </c>
      <c r="I160">
        <v>2325024915</v>
      </c>
      <c r="J160" t="s">
        <v>496</v>
      </c>
      <c r="K160" t="s">
        <v>494</v>
      </c>
      <c r="L160" t="s">
        <v>497</v>
      </c>
      <c r="M160">
        <v>62400</v>
      </c>
      <c r="N160" t="str">
        <f>"41.206887"</f>
        <v>41.206887</v>
      </c>
      <c r="O160" t="str">
        <f>"23.286857"</f>
        <v>23.286857</v>
      </c>
      <c r="P160" t="s">
        <v>28</v>
      </c>
      <c r="R160">
        <v>611922</v>
      </c>
      <c r="S160">
        <v>79023152</v>
      </c>
      <c r="T160" t="s">
        <v>498</v>
      </c>
      <c r="U160" t="s">
        <v>39</v>
      </c>
    </row>
    <row r="161" spans="1:21" x14ac:dyDescent="0.25">
      <c r="A161" t="s">
        <v>33</v>
      </c>
      <c r="B161" t="s">
        <v>388</v>
      </c>
      <c r="C161" t="s">
        <v>24</v>
      </c>
      <c r="D161" t="str">
        <f>"9440069"</f>
        <v>9440069</v>
      </c>
      <c r="E161" t="s">
        <v>500</v>
      </c>
      <c r="F161">
        <v>1</v>
      </c>
      <c r="G161">
        <v>1</v>
      </c>
      <c r="H161">
        <v>2325041659</v>
      </c>
      <c r="I161">
        <v>2325041574</v>
      </c>
      <c r="J161" t="s">
        <v>501</v>
      </c>
      <c r="K161" t="s">
        <v>499</v>
      </c>
      <c r="L161" t="s">
        <v>502</v>
      </c>
      <c r="M161">
        <v>62400</v>
      </c>
      <c r="N161" t="str">
        <f>"41.108252"</f>
        <v>41.108252</v>
      </c>
      <c r="O161" t="str">
        <f>"23.261048"</f>
        <v>23.261048</v>
      </c>
      <c r="P161" t="s">
        <v>28</v>
      </c>
      <c r="R161">
        <v>714093</v>
      </c>
      <c r="S161">
        <v>135790518</v>
      </c>
      <c r="T161" t="s">
        <v>503</v>
      </c>
      <c r="U161" t="s">
        <v>39</v>
      </c>
    </row>
    <row r="162" spans="1:21" x14ac:dyDescent="0.25">
      <c r="A162" t="s">
        <v>34</v>
      </c>
      <c r="B162" t="s">
        <v>22</v>
      </c>
      <c r="C162" t="s">
        <v>24</v>
      </c>
      <c r="D162" t="str">
        <f>"9440415"</f>
        <v>9440415</v>
      </c>
      <c r="E162" t="s">
        <v>504</v>
      </c>
      <c r="F162">
        <v>2</v>
      </c>
      <c r="G162">
        <v>2</v>
      </c>
      <c r="H162">
        <v>2321056002</v>
      </c>
      <c r="I162">
        <v>2321023349</v>
      </c>
      <c r="J162" t="s">
        <v>505</v>
      </c>
      <c r="K162" t="s">
        <v>22</v>
      </c>
      <c r="L162" t="s">
        <v>370</v>
      </c>
      <c r="M162">
        <v>62100</v>
      </c>
      <c r="N162" t="str">
        <f>"41.089962"</f>
        <v>41.089962</v>
      </c>
      <c r="O162" t="str">
        <f>"23.586379"</f>
        <v>23.586379</v>
      </c>
      <c r="P162" t="s">
        <v>28</v>
      </c>
      <c r="R162">
        <v>608085</v>
      </c>
      <c r="S162">
        <v>74214416</v>
      </c>
      <c r="T162" t="s">
        <v>506</v>
      </c>
      <c r="U162" t="s">
        <v>369</v>
      </c>
    </row>
    <row r="163" spans="1:21" x14ac:dyDescent="0.25">
      <c r="A163" t="s">
        <v>65</v>
      </c>
      <c r="B163" t="s">
        <v>22</v>
      </c>
      <c r="C163" t="s">
        <v>24</v>
      </c>
      <c r="D163" t="str">
        <f>"9520997"</f>
        <v>9520997</v>
      </c>
      <c r="E163" t="s">
        <v>507</v>
      </c>
      <c r="F163">
        <v>1</v>
      </c>
      <c r="G163">
        <v>1</v>
      </c>
      <c r="H163">
        <v>2321066689</v>
      </c>
      <c r="I163">
        <v>2321066689</v>
      </c>
      <c r="J163" t="s">
        <v>508</v>
      </c>
      <c r="K163" t="s">
        <v>509</v>
      </c>
      <c r="L163" t="s">
        <v>509</v>
      </c>
      <c r="M163">
        <v>62100</v>
      </c>
      <c r="N163" t="str">
        <f>"41.141803"</f>
        <v>41.141803</v>
      </c>
      <c r="O163" t="str">
        <f>"23.581705"</f>
        <v>23.581705</v>
      </c>
      <c r="P163" t="s">
        <v>28</v>
      </c>
      <c r="R163">
        <v>591822</v>
      </c>
      <c r="S163">
        <v>51920086</v>
      </c>
      <c r="T163" t="s">
        <v>510</v>
      </c>
      <c r="U163" t="s">
        <v>39</v>
      </c>
    </row>
    <row r="164" spans="1:21" x14ac:dyDescent="0.25">
      <c r="A164" t="s">
        <v>33</v>
      </c>
      <c r="B164" t="s">
        <v>23</v>
      </c>
      <c r="C164" t="s">
        <v>24</v>
      </c>
      <c r="D164" t="str">
        <f>"9440209"</f>
        <v>9440209</v>
      </c>
      <c r="E164" t="s">
        <v>511</v>
      </c>
      <c r="F164">
        <v>1</v>
      </c>
      <c r="G164">
        <v>2</v>
      </c>
      <c r="H164">
        <v>2323022852</v>
      </c>
      <c r="J164" t="s">
        <v>512</v>
      </c>
      <c r="K164" t="s">
        <v>198</v>
      </c>
      <c r="L164" t="s">
        <v>513</v>
      </c>
      <c r="M164">
        <v>62300</v>
      </c>
      <c r="N164" t="str">
        <f>"41.236420"</f>
        <v>41.236420</v>
      </c>
      <c r="O164" t="str">
        <f>"23.394337"</f>
        <v>23.394337</v>
      </c>
      <c r="P164" t="s">
        <v>28</v>
      </c>
      <c r="S164">
        <v>58428455</v>
      </c>
      <c r="T164" t="s">
        <v>514</v>
      </c>
      <c r="U164" t="s">
        <v>31</v>
      </c>
    </row>
    <row r="165" spans="1:21" x14ac:dyDescent="0.25">
      <c r="A165" t="s">
        <v>33</v>
      </c>
      <c r="B165" t="s">
        <v>23</v>
      </c>
      <c r="C165" t="s">
        <v>24</v>
      </c>
      <c r="D165" t="str">
        <f>"9440210"</f>
        <v>9440210</v>
      </c>
      <c r="E165" t="s">
        <v>515</v>
      </c>
      <c r="F165">
        <v>1</v>
      </c>
      <c r="G165">
        <v>1</v>
      </c>
      <c r="H165">
        <v>2323023246</v>
      </c>
      <c r="J165" t="s">
        <v>516</v>
      </c>
      <c r="K165" t="s">
        <v>198</v>
      </c>
      <c r="L165" t="s">
        <v>517</v>
      </c>
      <c r="M165">
        <v>62300</v>
      </c>
      <c r="N165" t="str">
        <f>"41.234912"</f>
        <v>41.234912</v>
      </c>
      <c r="O165" t="str">
        <f>"23.388813"</f>
        <v>23.388813</v>
      </c>
      <c r="P165" t="s">
        <v>28</v>
      </c>
      <c r="R165">
        <v>606315</v>
      </c>
      <c r="S165">
        <v>100336440</v>
      </c>
      <c r="T165" t="s">
        <v>518</v>
      </c>
      <c r="U165" t="s">
        <v>31</v>
      </c>
    </row>
    <row r="166" spans="1:21" x14ac:dyDescent="0.25">
      <c r="A166" t="s">
        <v>34</v>
      </c>
      <c r="B166" t="s">
        <v>22</v>
      </c>
      <c r="C166" t="s">
        <v>24</v>
      </c>
      <c r="D166" t="str">
        <f>"9520787"</f>
        <v>9520787</v>
      </c>
      <c r="E166" t="s">
        <v>523</v>
      </c>
      <c r="F166">
        <v>1</v>
      </c>
      <c r="G166">
        <v>1</v>
      </c>
      <c r="H166">
        <v>2321062459</v>
      </c>
      <c r="I166">
        <v>2321062459</v>
      </c>
      <c r="J166" t="s">
        <v>524</v>
      </c>
      <c r="K166" t="s">
        <v>22</v>
      </c>
      <c r="L166" t="s">
        <v>525</v>
      </c>
      <c r="M166">
        <v>62150</v>
      </c>
      <c r="N166" t="str">
        <f>"41.089957"</f>
        <v>41.089957</v>
      </c>
      <c r="O166" t="str">
        <f>"23.584403"</f>
        <v>23.584403</v>
      </c>
      <c r="P166" t="s">
        <v>28</v>
      </c>
      <c r="R166">
        <v>596184</v>
      </c>
      <c r="S166">
        <v>33464984</v>
      </c>
      <c r="T166" t="s">
        <v>526</v>
      </c>
      <c r="U166" t="s">
        <v>39</v>
      </c>
    </row>
    <row r="167" spans="1:21" x14ac:dyDescent="0.25">
      <c r="A167" t="s">
        <v>34</v>
      </c>
      <c r="B167" t="s">
        <v>22</v>
      </c>
      <c r="C167" t="s">
        <v>24</v>
      </c>
      <c r="D167" t="str">
        <f>"9440411"</f>
        <v>9440411</v>
      </c>
      <c r="E167" t="s">
        <v>527</v>
      </c>
      <c r="F167">
        <v>1</v>
      </c>
      <c r="G167">
        <v>1</v>
      </c>
      <c r="H167">
        <v>2321021976</v>
      </c>
      <c r="I167">
        <v>2321021976</v>
      </c>
      <c r="J167" t="s">
        <v>528</v>
      </c>
      <c r="K167" t="s">
        <v>22</v>
      </c>
      <c r="L167" t="s">
        <v>346</v>
      </c>
      <c r="M167">
        <v>62100</v>
      </c>
      <c r="N167" t="str">
        <f>"41.080628"</f>
        <v>41.080628</v>
      </c>
      <c r="O167" t="str">
        <f>"23.549738"</f>
        <v>23.549738</v>
      </c>
      <c r="P167" t="s">
        <v>29</v>
      </c>
      <c r="Q167">
        <v>1</v>
      </c>
      <c r="R167">
        <v>606393</v>
      </c>
      <c r="S167">
        <v>77432740</v>
      </c>
      <c r="T167" t="s">
        <v>529</v>
      </c>
      <c r="U167" t="s">
        <v>39</v>
      </c>
    </row>
    <row r="168" spans="1:21" x14ac:dyDescent="0.25">
      <c r="A168" t="s">
        <v>33</v>
      </c>
      <c r="B168" t="s">
        <v>23</v>
      </c>
      <c r="C168" t="s">
        <v>24</v>
      </c>
      <c r="D168" t="str">
        <f>"9440426"</f>
        <v>9440426</v>
      </c>
      <c r="E168" t="s">
        <v>535</v>
      </c>
      <c r="F168">
        <v>1</v>
      </c>
      <c r="G168">
        <v>1</v>
      </c>
      <c r="H168">
        <v>2323024340</v>
      </c>
      <c r="I168">
        <v>2323025588</v>
      </c>
      <c r="J168" t="s">
        <v>536</v>
      </c>
      <c r="K168" t="s">
        <v>198</v>
      </c>
      <c r="L168" t="s">
        <v>537</v>
      </c>
      <c r="M168">
        <v>62300</v>
      </c>
      <c r="N168" t="str">
        <f>"41.234588"</f>
        <v>41.234588</v>
      </c>
      <c r="O168" t="str">
        <f>"23.389395"</f>
        <v>23.389395</v>
      </c>
      <c r="P168" t="s">
        <v>29</v>
      </c>
      <c r="Q168">
        <v>1</v>
      </c>
      <c r="R168">
        <v>615422</v>
      </c>
      <c r="S168">
        <v>105516870</v>
      </c>
      <c r="T168" t="s">
        <v>538</v>
      </c>
      <c r="U168" t="s">
        <v>31</v>
      </c>
    </row>
    <row r="169" spans="1:21" x14ac:dyDescent="0.25">
      <c r="A169" t="s">
        <v>33</v>
      </c>
      <c r="B169" t="s">
        <v>23</v>
      </c>
      <c r="C169" t="s">
        <v>24</v>
      </c>
      <c r="D169" t="str">
        <f>"9440279"</f>
        <v>9440279</v>
      </c>
      <c r="E169" t="s">
        <v>539</v>
      </c>
      <c r="F169">
        <v>1</v>
      </c>
      <c r="G169">
        <v>1</v>
      </c>
      <c r="H169">
        <v>2323022872</v>
      </c>
      <c r="I169">
        <v>2323022868</v>
      </c>
      <c r="J169" t="s">
        <v>540</v>
      </c>
      <c r="K169" t="s">
        <v>300</v>
      </c>
      <c r="L169" t="s">
        <v>304</v>
      </c>
      <c r="M169">
        <v>62300</v>
      </c>
      <c r="N169" t="str">
        <f>"41.264845"</f>
        <v>41.264845</v>
      </c>
      <c r="O169" t="str">
        <f>"23.374386"</f>
        <v>23.374386</v>
      </c>
      <c r="P169" t="s">
        <v>28</v>
      </c>
      <c r="S169">
        <v>149406886</v>
      </c>
      <c r="T169" t="s">
        <v>541</v>
      </c>
      <c r="U169" t="s">
        <v>31</v>
      </c>
    </row>
    <row r="170" spans="1:21" x14ac:dyDescent="0.25">
      <c r="A170" t="s">
        <v>33</v>
      </c>
      <c r="B170" t="s">
        <v>200</v>
      </c>
      <c r="C170" t="s">
        <v>24</v>
      </c>
      <c r="D170" t="str">
        <f>"9440002"</f>
        <v>9440002</v>
      </c>
      <c r="E170" t="s">
        <v>584</v>
      </c>
      <c r="F170">
        <v>3</v>
      </c>
      <c r="G170">
        <v>2</v>
      </c>
      <c r="H170">
        <v>2322023027</v>
      </c>
      <c r="J170" t="s">
        <v>585</v>
      </c>
      <c r="K170" t="s">
        <v>211</v>
      </c>
      <c r="L170" t="s">
        <v>586</v>
      </c>
      <c r="M170">
        <v>62200</v>
      </c>
      <c r="N170" t="str">
        <f>"40.906616"</f>
        <v>40.906616</v>
      </c>
      <c r="O170" t="str">
        <f>"23.497773"</f>
        <v>23.497773</v>
      </c>
      <c r="P170" t="s">
        <v>29</v>
      </c>
      <c r="Q170">
        <v>1</v>
      </c>
      <c r="S170">
        <v>142675383</v>
      </c>
      <c r="T170" t="s">
        <v>587</v>
      </c>
      <c r="U170" t="s">
        <v>39</v>
      </c>
    </row>
    <row r="171" spans="1:21" x14ac:dyDescent="0.25">
      <c r="A171" t="s">
        <v>65</v>
      </c>
      <c r="B171" t="s">
        <v>22</v>
      </c>
      <c r="C171" t="s">
        <v>24</v>
      </c>
      <c r="D171" t="str">
        <f>"9440431"</f>
        <v>9440431</v>
      </c>
      <c r="E171" t="s">
        <v>592</v>
      </c>
      <c r="F171">
        <v>1</v>
      </c>
      <c r="G171">
        <v>2</v>
      </c>
      <c r="H171">
        <v>2321042879</v>
      </c>
      <c r="J171" t="s">
        <v>593</v>
      </c>
      <c r="K171" t="s">
        <v>269</v>
      </c>
      <c r="L171" t="s">
        <v>594</v>
      </c>
      <c r="M171">
        <v>62100</v>
      </c>
      <c r="N171" t="str">
        <f>"41.016891"</f>
        <v>41.016891</v>
      </c>
      <c r="O171" t="str">
        <f>"23.516956"</f>
        <v>23.516956</v>
      </c>
      <c r="P171" t="s">
        <v>28</v>
      </c>
      <c r="R171">
        <v>587139</v>
      </c>
      <c r="S171">
        <v>62840565</v>
      </c>
      <c r="T171" t="s">
        <v>595</v>
      </c>
      <c r="U171" t="s">
        <v>39</v>
      </c>
    </row>
    <row r="172" spans="1:21" x14ac:dyDescent="0.25">
      <c r="A172" t="s">
        <v>65</v>
      </c>
      <c r="B172" t="s">
        <v>22</v>
      </c>
      <c r="C172" t="s">
        <v>24</v>
      </c>
      <c r="D172" t="str">
        <f>"9440178"</f>
        <v>9440178</v>
      </c>
      <c r="E172" t="s">
        <v>606</v>
      </c>
      <c r="F172">
        <v>2</v>
      </c>
      <c r="G172">
        <v>2</v>
      </c>
      <c r="H172">
        <v>2321075720</v>
      </c>
      <c r="I172">
        <v>2321075720</v>
      </c>
      <c r="J172" t="s">
        <v>607</v>
      </c>
      <c r="K172" t="s">
        <v>608</v>
      </c>
      <c r="L172" t="s">
        <v>609</v>
      </c>
      <c r="M172">
        <v>62100</v>
      </c>
      <c r="N172" t="str">
        <f>"41.071909"</f>
        <v>41.071909</v>
      </c>
      <c r="O172" t="str">
        <f>"23.460952"</f>
        <v>23.460952</v>
      </c>
      <c r="P172" t="s">
        <v>29</v>
      </c>
      <c r="Q172">
        <v>1</v>
      </c>
      <c r="R172">
        <v>592687</v>
      </c>
      <c r="S172">
        <v>47826243</v>
      </c>
      <c r="T172" t="s">
        <v>610</v>
      </c>
      <c r="U172" t="s">
        <v>39</v>
      </c>
    </row>
    <row r="173" spans="1:21" x14ac:dyDescent="0.25">
      <c r="A173" t="s">
        <v>33</v>
      </c>
      <c r="B173" t="s">
        <v>80</v>
      </c>
      <c r="C173" t="s">
        <v>24</v>
      </c>
      <c r="D173" t="str">
        <f>"9440120"</f>
        <v>9440120</v>
      </c>
      <c r="E173" t="s">
        <v>694</v>
      </c>
      <c r="F173">
        <v>1</v>
      </c>
      <c r="G173">
        <v>1</v>
      </c>
      <c r="H173">
        <v>2321073370</v>
      </c>
      <c r="I173">
        <v>2321073370</v>
      </c>
      <c r="J173" t="s">
        <v>695</v>
      </c>
      <c r="K173" t="s">
        <v>693</v>
      </c>
      <c r="L173" t="s">
        <v>696</v>
      </c>
      <c r="M173">
        <v>62100</v>
      </c>
      <c r="N173" t="str">
        <f>"40.984457"</f>
        <v>40.984457</v>
      </c>
      <c r="O173" t="str">
        <f>"23.667890"</f>
        <v>23.667890</v>
      </c>
      <c r="P173" t="s">
        <v>28</v>
      </c>
      <c r="U173" t="s">
        <v>39</v>
      </c>
    </row>
    <row r="174" spans="1:21" x14ac:dyDescent="0.25">
      <c r="A174" t="s">
        <v>259</v>
      </c>
      <c r="B174" t="s">
        <v>23</v>
      </c>
      <c r="C174" t="s">
        <v>24</v>
      </c>
      <c r="D174" t="str">
        <f>"9440246"</f>
        <v>9440246</v>
      </c>
      <c r="E174" t="s">
        <v>697</v>
      </c>
      <c r="F174">
        <v>1</v>
      </c>
      <c r="G174">
        <v>1</v>
      </c>
      <c r="H174">
        <v>2327061616</v>
      </c>
      <c r="I174">
        <v>2327061257</v>
      </c>
      <c r="J174" t="s">
        <v>698</v>
      </c>
      <c r="K174" t="s">
        <v>699</v>
      </c>
      <c r="L174" t="s">
        <v>700</v>
      </c>
      <c r="M174">
        <v>62055</v>
      </c>
      <c r="N174" t="str">
        <f>"41.276596"</f>
        <v>41.276596</v>
      </c>
      <c r="O174" t="str">
        <f>"22.892879"</f>
        <v>22.892879</v>
      </c>
      <c r="P174" t="s">
        <v>28</v>
      </c>
      <c r="R174">
        <v>714043</v>
      </c>
      <c r="S174">
        <v>117737472</v>
      </c>
      <c r="T174" t="s">
        <v>701</v>
      </c>
      <c r="U174" t="s">
        <v>31</v>
      </c>
    </row>
    <row r="175" spans="1:21" x14ac:dyDescent="0.25">
      <c r="A175" t="s">
        <v>230</v>
      </c>
      <c r="B175" t="s">
        <v>22</v>
      </c>
      <c r="C175" t="s">
        <v>24</v>
      </c>
      <c r="D175" t="str">
        <f>"9440119"</f>
        <v>9440119</v>
      </c>
      <c r="E175" t="s">
        <v>702</v>
      </c>
      <c r="F175">
        <v>1</v>
      </c>
      <c r="G175">
        <v>1</v>
      </c>
      <c r="H175">
        <v>2321056846</v>
      </c>
      <c r="I175">
        <v>2321056846</v>
      </c>
      <c r="J175" t="s">
        <v>703</v>
      </c>
      <c r="K175" t="s">
        <v>704</v>
      </c>
      <c r="L175" t="s">
        <v>686</v>
      </c>
      <c r="M175">
        <v>62100</v>
      </c>
      <c r="N175" t="str">
        <f>"41.190708"</f>
        <v>41.190708</v>
      </c>
      <c r="O175" t="str">
        <f>"23.592175"</f>
        <v>23.592175</v>
      </c>
      <c r="P175" t="s">
        <v>28</v>
      </c>
      <c r="S175">
        <v>136326989</v>
      </c>
      <c r="T175" t="s">
        <v>705</v>
      </c>
      <c r="U175" t="s">
        <v>39</v>
      </c>
    </row>
    <row r="176" spans="1:21" x14ac:dyDescent="0.25">
      <c r="A176" t="s">
        <v>65</v>
      </c>
      <c r="B176" t="s">
        <v>80</v>
      </c>
      <c r="C176" t="s">
        <v>24</v>
      </c>
      <c r="D176" t="str">
        <f>"9440135"</f>
        <v>9440135</v>
      </c>
      <c r="E176" t="s">
        <v>706</v>
      </c>
      <c r="F176">
        <v>1</v>
      </c>
      <c r="G176">
        <v>1</v>
      </c>
      <c r="H176">
        <v>2321031737</v>
      </c>
      <c r="J176" t="s">
        <v>707</v>
      </c>
      <c r="K176" t="s">
        <v>139</v>
      </c>
      <c r="L176" t="s">
        <v>142</v>
      </c>
      <c r="M176">
        <v>62100</v>
      </c>
      <c r="N176" t="str">
        <f>"41.006574"</f>
        <v>41.006574</v>
      </c>
      <c r="O176" t="str">
        <f>"23.625369"</f>
        <v>23.625369</v>
      </c>
      <c r="P176" t="s">
        <v>28</v>
      </c>
      <c r="R176">
        <v>616459</v>
      </c>
      <c r="S176">
        <v>135282131</v>
      </c>
      <c r="T176" t="s">
        <v>708</v>
      </c>
      <c r="U176" t="s">
        <v>39</v>
      </c>
    </row>
    <row r="177" spans="1:21" x14ac:dyDescent="0.25">
      <c r="A177" t="s">
        <v>65</v>
      </c>
      <c r="B177" t="s">
        <v>80</v>
      </c>
      <c r="C177" t="s">
        <v>24</v>
      </c>
      <c r="D177" t="str">
        <f>"9440096"</f>
        <v>9440096</v>
      </c>
      <c r="E177" t="s">
        <v>709</v>
      </c>
      <c r="F177">
        <v>1</v>
      </c>
      <c r="G177">
        <v>1</v>
      </c>
      <c r="H177">
        <v>2321032458</v>
      </c>
      <c r="J177" t="s">
        <v>710</v>
      </c>
      <c r="K177" t="s">
        <v>563</v>
      </c>
      <c r="L177" t="s">
        <v>568</v>
      </c>
      <c r="M177">
        <v>62100</v>
      </c>
      <c r="N177" t="str">
        <f>"40.993133"</f>
        <v>40.993133</v>
      </c>
      <c r="O177" t="str">
        <f>"23.595563"</f>
        <v>23.595563</v>
      </c>
      <c r="P177" t="s">
        <v>28</v>
      </c>
      <c r="R177">
        <v>615561</v>
      </c>
      <c r="S177">
        <v>127149184</v>
      </c>
      <c r="T177" t="s">
        <v>711</v>
      </c>
      <c r="U177" t="s">
        <v>39</v>
      </c>
    </row>
    <row r="178" spans="1:21" x14ac:dyDescent="0.25">
      <c r="A178" t="s">
        <v>65</v>
      </c>
      <c r="B178" t="s">
        <v>80</v>
      </c>
      <c r="C178" t="s">
        <v>24</v>
      </c>
      <c r="D178" t="str">
        <f>"9440108"</f>
        <v>9440108</v>
      </c>
      <c r="E178" t="s">
        <v>713</v>
      </c>
      <c r="F178">
        <v>1</v>
      </c>
      <c r="G178">
        <v>1</v>
      </c>
      <c r="H178">
        <v>2321076444</v>
      </c>
      <c r="I178">
        <v>2321076444</v>
      </c>
      <c r="J178" t="s">
        <v>714</v>
      </c>
      <c r="K178" t="s">
        <v>712</v>
      </c>
      <c r="L178" t="s">
        <v>715</v>
      </c>
      <c r="M178">
        <v>62100</v>
      </c>
      <c r="N178" t="str">
        <f>"41.058788"</f>
        <v>41.058788</v>
      </c>
      <c r="O178" t="str">
        <f>"23.604726"</f>
        <v>23.604726</v>
      </c>
      <c r="P178" t="s">
        <v>28</v>
      </c>
      <c r="R178">
        <v>595410</v>
      </c>
      <c r="S178">
        <v>57533190</v>
      </c>
      <c r="T178" t="s">
        <v>716</v>
      </c>
      <c r="U178" t="s">
        <v>39</v>
      </c>
    </row>
    <row r="179" spans="1:21" x14ac:dyDescent="0.25">
      <c r="A179" t="s">
        <v>199</v>
      </c>
      <c r="B179" t="s">
        <v>23</v>
      </c>
      <c r="C179" t="s">
        <v>24</v>
      </c>
      <c r="D179" t="str">
        <f>"9440265"</f>
        <v>9440265</v>
      </c>
      <c r="E179" t="s">
        <v>731</v>
      </c>
      <c r="F179">
        <v>1</v>
      </c>
      <c r="G179">
        <v>2</v>
      </c>
      <c r="H179">
        <v>2323031344</v>
      </c>
      <c r="J179" t="s">
        <v>732</v>
      </c>
      <c r="K179" t="s">
        <v>733</v>
      </c>
      <c r="L179" t="s">
        <v>734</v>
      </c>
      <c r="M179">
        <v>62043</v>
      </c>
      <c r="N179" t="str">
        <f>"41.272315"</f>
        <v>41.272315</v>
      </c>
      <c r="O179" t="str">
        <f>"23.295401"</f>
        <v>23.295401</v>
      </c>
      <c r="P179" t="s">
        <v>28</v>
      </c>
      <c r="R179">
        <v>608239</v>
      </c>
      <c r="S179">
        <v>103365335</v>
      </c>
      <c r="T179" t="s">
        <v>735</v>
      </c>
      <c r="U179" t="s">
        <v>31</v>
      </c>
    </row>
    <row r="180" spans="1:21" x14ac:dyDescent="0.25">
      <c r="A180" t="s">
        <v>21</v>
      </c>
      <c r="B180" t="s">
        <v>23</v>
      </c>
      <c r="C180" t="s">
        <v>24</v>
      </c>
      <c r="D180" t="str">
        <f>"9440247"</f>
        <v>9440247</v>
      </c>
      <c r="E180" t="s">
        <v>744</v>
      </c>
      <c r="F180">
        <v>1</v>
      </c>
      <c r="G180">
        <v>1</v>
      </c>
      <c r="H180">
        <v>2327028119</v>
      </c>
      <c r="I180">
        <v>2327028119</v>
      </c>
      <c r="J180" t="s">
        <v>745</v>
      </c>
      <c r="K180" t="s">
        <v>743</v>
      </c>
      <c r="L180" t="s">
        <v>746</v>
      </c>
      <c r="M180">
        <v>62055</v>
      </c>
      <c r="N180" t="str">
        <f>"41.282360"</f>
        <v>41.282360</v>
      </c>
      <c r="O180" t="str">
        <f>"23.010277"</f>
        <v>23.010277</v>
      </c>
      <c r="P180" t="s">
        <v>28</v>
      </c>
      <c r="R180">
        <v>618924</v>
      </c>
      <c r="S180">
        <v>70320793</v>
      </c>
      <c r="T180" t="s">
        <v>747</v>
      </c>
      <c r="U180" t="s">
        <v>31</v>
      </c>
    </row>
    <row r="181" spans="1:21" x14ac:dyDescent="0.25">
      <c r="A181" t="s">
        <v>187</v>
      </c>
      <c r="B181" t="s">
        <v>23</v>
      </c>
      <c r="C181" t="s">
        <v>24</v>
      </c>
      <c r="D181" t="str">
        <f>"9440285"</f>
        <v>9440285</v>
      </c>
      <c r="E181" t="s">
        <v>756</v>
      </c>
      <c r="F181">
        <v>1</v>
      </c>
      <c r="G181">
        <v>1</v>
      </c>
      <c r="H181">
        <v>2327031253</v>
      </c>
      <c r="I181">
        <v>2327031253</v>
      </c>
      <c r="J181" t="s">
        <v>757</v>
      </c>
      <c r="K181" t="s">
        <v>758</v>
      </c>
      <c r="L181" t="s">
        <v>759</v>
      </c>
      <c r="M181">
        <v>62055</v>
      </c>
      <c r="N181" t="str">
        <f>"41.259884"</f>
        <v>41.259884</v>
      </c>
      <c r="O181" t="str">
        <f>"23.086886"</f>
        <v>23.086886</v>
      </c>
      <c r="P181" t="s">
        <v>28</v>
      </c>
      <c r="R181">
        <v>713718</v>
      </c>
      <c r="S181">
        <v>64068450</v>
      </c>
      <c r="T181" t="s">
        <v>760</v>
      </c>
      <c r="U181" t="s">
        <v>31</v>
      </c>
    </row>
    <row r="182" spans="1:21" x14ac:dyDescent="0.25">
      <c r="A182" t="s">
        <v>65</v>
      </c>
      <c r="B182" t="s">
        <v>22</v>
      </c>
      <c r="C182" t="s">
        <v>24</v>
      </c>
      <c r="D182" t="str">
        <f>"9440127"</f>
        <v>9440127</v>
      </c>
      <c r="E182" t="s">
        <v>784</v>
      </c>
      <c r="F182">
        <v>1</v>
      </c>
      <c r="G182">
        <v>2</v>
      </c>
      <c r="H182">
        <v>2321041680</v>
      </c>
      <c r="J182" t="s">
        <v>785</v>
      </c>
      <c r="K182" t="s">
        <v>269</v>
      </c>
      <c r="L182" t="s">
        <v>663</v>
      </c>
      <c r="M182">
        <v>62100</v>
      </c>
      <c r="N182" t="str">
        <f>"41.016783"</f>
        <v>41.016783</v>
      </c>
      <c r="O182" t="str">
        <f>"23.516954"</f>
        <v>23.516954</v>
      </c>
      <c r="P182" t="s">
        <v>28</v>
      </c>
      <c r="R182">
        <v>713759</v>
      </c>
      <c r="S182">
        <v>58590700</v>
      </c>
      <c r="T182" t="s">
        <v>786</v>
      </c>
      <c r="U182" t="s">
        <v>39</v>
      </c>
    </row>
    <row r="183" spans="1:21" x14ac:dyDescent="0.25">
      <c r="A183" t="s">
        <v>34</v>
      </c>
      <c r="B183" t="s">
        <v>22</v>
      </c>
      <c r="C183" t="s">
        <v>24</v>
      </c>
      <c r="D183" t="str">
        <f>"9521149"</f>
        <v>9521149</v>
      </c>
      <c r="E183" t="s">
        <v>790</v>
      </c>
      <c r="F183">
        <v>1</v>
      </c>
      <c r="G183">
        <v>1</v>
      </c>
      <c r="H183">
        <v>2321047239</v>
      </c>
      <c r="J183" t="s">
        <v>791</v>
      </c>
      <c r="K183" t="s">
        <v>22</v>
      </c>
      <c r="L183" t="s">
        <v>792</v>
      </c>
      <c r="M183">
        <v>62121</v>
      </c>
      <c r="N183" t="str">
        <f>"41.086563"</f>
        <v>41.086563</v>
      </c>
      <c r="O183" t="str">
        <f>"23.537431"</f>
        <v>23.537431</v>
      </c>
      <c r="P183" t="s">
        <v>28</v>
      </c>
      <c r="R183">
        <v>608147</v>
      </c>
      <c r="S183">
        <v>100884535</v>
      </c>
      <c r="T183" t="s">
        <v>793</v>
      </c>
      <c r="U183" t="s">
        <v>39</v>
      </c>
    </row>
    <row r="184" spans="1:21" x14ac:dyDescent="0.25">
      <c r="A184" t="s">
        <v>199</v>
      </c>
      <c r="B184" t="s">
        <v>23</v>
      </c>
      <c r="C184" t="s">
        <v>24</v>
      </c>
      <c r="D184" t="str">
        <f>"9440263"</f>
        <v>9440263</v>
      </c>
      <c r="E184" t="s">
        <v>804</v>
      </c>
      <c r="F184">
        <v>1</v>
      </c>
      <c r="G184">
        <v>1</v>
      </c>
      <c r="H184">
        <v>2325061226</v>
      </c>
      <c r="I184">
        <v>2325061226</v>
      </c>
      <c r="J184" t="s">
        <v>805</v>
      </c>
      <c r="K184" t="s">
        <v>803</v>
      </c>
      <c r="L184" t="s">
        <v>806</v>
      </c>
      <c r="M184">
        <v>62043</v>
      </c>
      <c r="N184" t="str">
        <f>"41.249121"</f>
        <v>41.249121</v>
      </c>
      <c r="O184" t="str">
        <f>"23.228457"</f>
        <v>23.228457</v>
      </c>
      <c r="P184" t="s">
        <v>28</v>
      </c>
      <c r="R184">
        <v>622547</v>
      </c>
      <c r="S184">
        <v>125660556</v>
      </c>
      <c r="T184" t="s">
        <v>807</v>
      </c>
      <c r="U184" t="s">
        <v>31</v>
      </c>
    </row>
    <row r="185" spans="1:21" x14ac:dyDescent="0.25">
      <c r="A185" t="s">
        <v>33</v>
      </c>
      <c r="B185" t="s">
        <v>388</v>
      </c>
      <c r="C185" t="s">
        <v>24</v>
      </c>
      <c r="D185" t="str">
        <f>"9440163"</f>
        <v>9440163</v>
      </c>
      <c r="E185" t="s">
        <v>808</v>
      </c>
      <c r="F185">
        <v>1</v>
      </c>
      <c r="G185">
        <v>1</v>
      </c>
      <c r="H185">
        <v>2325022932</v>
      </c>
      <c r="J185" t="s">
        <v>809</v>
      </c>
      <c r="K185" t="s">
        <v>721</v>
      </c>
      <c r="L185" t="s">
        <v>725</v>
      </c>
      <c r="M185">
        <v>62400</v>
      </c>
      <c r="N185" t="str">
        <f>"41.164395"</f>
        <v>41.164395</v>
      </c>
      <c r="O185" t="str">
        <f>"23.269973"</f>
        <v>23.269973</v>
      </c>
      <c r="P185" t="s">
        <v>28</v>
      </c>
      <c r="R185">
        <v>608368</v>
      </c>
      <c r="S185">
        <v>103486182</v>
      </c>
      <c r="T185" t="s">
        <v>810</v>
      </c>
      <c r="U185" t="s">
        <v>39</v>
      </c>
    </row>
    <row r="186" spans="1:21" x14ac:dyDescent="0.25">
      <c r="A186" t="s">
        <v>65</v>
      </c>
      <c r="B186" t="s">
        <v>388</v>
      </c>
      <c r="C186" t="s">
        <v>24</v>
      </c>
      <c r="D186" t="str">
        <f>"9520678"</f>
        <v>9520678</v>
      </c>
      <c r="E186" t="s">
        <v>812</v>
      </c>
      <c r="F186">
        <v>1</v>
      </c>
      <c r="G186">
        <v>1</v>
      </c>
      <c r="H186">
        <v>2321081161</v>
      </c>
      <c r="I186">
        <v>2321081161</v>
      </c>
      <c r="J186" t="s">
        <v>813</v>
      </c>
      <c r="K186" t="s">
        <v>811</v>
      </c>
      <c r="L186" t="s">
        <v>814</v>
      </c>
      <c r="M186">
        <v>62300</v>
      </c>
      <c r="N186" t="str">
        <f>"41.154403"</f>
        <v>41.154403</v>
      </c>
      <c r="O186" t="str">
        <f>"23.409830"</f>
        <v>23.409830</v>
      </c>
      <c r="P186" t="s">
        <v>28</v>
      </c>
      <c r="R186">
        <v>622269</v>
      </c>
      <c r="S186">
        <v>103469020</v>
      </c>
      <c r="T186" t="s">
        <v>815</v>
      </c>
      <c r="U186" t="s">
        <v>39</v>
      </c>
    </row>
    <row r="187" spans="1:21" x14ac:dyDescent="0.25">
      <c r="A187" t="s">
        <v>33</v>
      </c>
      <c r="B187" t="s">
        <v>200</v>
      </c>
      <c r="C187" t="s">
        <v>24</v>
      </c>
      <c r="D187" t="str">
        <f>"9440056"</f>
        <v>9440056</v>
      </c>
      <c r="E187" t="s">
        <v>817</v>
      </c>
      <c r="F187">
        <v>1</v>
      </c>
      <c r="G187">
        <v>1</v>
      </c>
      <c r="H187">
        <v>2322064203</v>
      </c>
      <c r="I187">
        <v>2322064203</v>
      </c>
      <c r="J187" t="s">
        <v>818</v>
      </c>
      <c r="K187" t="s">
        <v>816</v>
      </c>
      <c r="L187" t="s">
        <v>819</v>
      </c>
      <c r="M187">
        <v>62200</v>
      </c>
      <c r="N187" t="str">
        <f>"40.934020"</f>
        <v>40.934020</v>
      </c>
      <c r="O187" t="str">
        <f>"23.565038"</f>
        <v>23.565038</v>
      </c>
      <c r="P187" t="s">
        <v>28</v>
      </c>
      <c r="R187">
        <v>450724</v>
      </c>
      <c r="S187">
        <v>31858480</v>
      </c>
      <c r="T187" t="s">
        <v>820</v>
      </c>
      <c r="U187" t="s">
        <v>39</v>
      </c>
    </row>
    <row r="188" spans="1:21" x14ac:dyDescent="0.25">
      <c r="A188" t="s">
        <v>65</v>
      </c>
      <c r="B188" t="s">
        <v>22</v>
      </c>
      <c r="C188" t="s">
        <v>24</v>
      </c>
      <c r="D188" t="str">
        <f>"9440128"</f>
        <v>9440128</v>
      </c>
      <c r="E188" t="s">
        <v>821</v>
      </c>
      <c r="F188">
        <v>1</v>
      </c>
      <c r="G188">
        <v>2</v>
      </c>
      <c r="H188">
        <v>2321091469</v>
      </c>
      <c r="I188">
        <v>2321091469</v>
      </c>
      <c r="J188" t="s">
        <v>822</v>
      </c>
      <c r="K188" t="s">
        <v>823</v>
      </c>
      <c r="L188" t="s">
        <v>824</v>
      </c>
      <c r="M188">
        <v>62100</v>
      </c>
      <c r="N188" t="str">
        <f>"41.101825"</f>
        <v>41.101825</v>
      </c>
      <c r="O188" t="str">
        <f>"23.627898"</f>
        <v>23.627898</v>
      </c>
      <c r="P188" t="s">
        <v>28</v>
      </c>
      <c r="R188">
        <v>597216</v>
      </c>
      <c r="S188">
        <v>101976335</v>
      </c>
      <c r="T188" t="s">
        <v>825</v>
      </c>
      <c r="U188" t="s">
        <v>39</v>
      </c>
    </row>
  </sheetData>
  <sortState xmlns:xlrd2="http://schemas.microsoft.com/office/spreadsheetml/2017/richdata2" ref="A2:U188">
    <sortCondition ref="C2:C188"/>
  </sortState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CSV_2022-02-22-084205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Ioannis Samoladas</dc:creator>
  <cp:lastModifiedBy>Ioannis Samoladas</cp:lastModifiedBy>
  <dcterms:created xsi:type="dcterms:W3CDTF">2022-02-22T06:45:48Z</dcterms:created>
  <dcterms:modified xsi:type="dcterms:W3CDTF">2022-02-22T06:45:48Z</dcterms:modified>
</cp:coreProperties>
</file>